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defaultThemeVersion="166925"/>
  <mc:AlternateContent xmlns:mc="http://schemas.openxmlformats.org/markup-compatibility/2006">
    <mc:Choice Requires="x15">
      <x15ac:absPath xmlns:x15ac="http://schemas.microsoft.com/office/spreadsheetml/2010/11/ac" url="Z:\Highways\MOB\TSERV\MOB_ENVIRONMENTAL_PRGM\MOB_STORMWATER\h2o_Techs\SharepointTS4\PCP Documents\"/>
    </mc:Choice>
  </mc:AlternateContent>
  <xr:revisionPtr revIDLastSave="0" documentId="8_{6E9942C3-B919-4C84-869C-6B53640FC742}" xr6:coauthVersionLast="47" xr6:coauthVersionMax="47" xr10:uidLastSave="{00000000-0000-0000-0000-000000000000}"/>
  <bookViews>
    <workbookView xWindow="348" yWindow="348" windowWidth="20928" windowHeight="10812" tabRatio="738" activeTab="1" xr2:uid="{00000000-000D-0000-FFFF-FFFF00000000}"/>
  </bookViews>
  <sheets>
    <sheet name="Instructions" sheetId="10" r:id="rId1"/>
    <sheet name="BMP Tracking Table" sheetId="1" r:id="rId2"/>
    <sheet name="Maintenance Only" sheetId="11" state="hidden" r:id="rId3"/>
    <sheet name="Performance Curves" sheetId="8" state="hidden" r:id="rId4"/>
    <sheet name="Loading Rates" sheetId="9" state="hidden" r:id="rId5"/>
    <sheet name="BMP Definitions" sheetId="3" state="hidden" r:id="rId6"/>
    <sheet name="Dropdowns" sheetId="2" state="hidden" r:id="rId7"/>
    <sheet name="Change Log" sheetId="12" state="hidden" r:id="rId8"/>
    <sheet name="Total BMP Pivots" sheetId="15" state="hidden" r:id="rId9"/>
    <sheet name="Planned BMP Pivots" sheetId="18" state="hidden" r:id="rId10"/>
    <sheet name="Completed BMP Pivots" sheetId="16" state="hidden" r:id="rId11"/>
    <sheet name="Report Tables" sheetId="13" state="hidden" r:id="rId12"/>
    <sheet name="Charts" sheetId="14" state="hidden" r:id="rId13"/>
  </sheets>
  <externalReferences>
    <externalReference r:id="rId14"/>
  </externalReferences>
  <definedNames>
    <definedName name="_xlnm.Print_Area" localSheetId="10">'Completed BMP Pivots'!$A$2:$K$46</definedName>
    <definedName name="_xlnm.Print_Area" localSheetId="9">'Planned BMP Pivots'!$A$2:$K$36</definedName>
    <definedName name="_xlnm.Print_Area" localSheetId="8">'Total BMP Pivots'!$A$2:$K$37</definedName>
  </definedNames>
  <calcPr calcId="191028"/>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2" i="1" l="1"/>
  <c r="V275" i="1"/>
  <c r="AN87" i="1"/>
  <c r="AS87" i="1"/>
  <c r="AT87" i="1" s="1"/>
  <c r="V87" i="1"/>
  <c r="AR87" i="1"/>
  <c r="AX87" i="1" s="1"/>
  <c r="BM87" i="1"/>
  <c r="BN87" i="1"/>
  <c r="BP87" i="1" s="1"/>
  <c r="AN113" i="1"/>
  <c r="BO87" i="1" l="1"/>
  <c r="BQ87" i="1" s="1"/>
  <c r="BR87" i="1" s="1"/>
  <c r="AU87" i="1"/>
  <c r="AV87" i="1" s="1"/>
  <c r="AW87" i="1" s="1"/>
  <c r="BB87" i="1" s="1"/>
  <c r="AN100" i="1" l="1"/>
  <c r="AN105" i="1"/>
  <c r="B27" i="13" l="1"/>
  <c r="L5" i="13"/>
  <c r="L6" i="13"/>
  <c r="L7" i="13"/>
  <c r="L8" i="13"/>
  <c r="L9" i="13"/>
  <c r="L10" i="13"/>
  <c r="L4" i="13"/>
  <c r="K4" i="13"/>
  <c r="K5" i="13"/>
  <c r="K6" i="13"/>
  <c r="K7" i="13"/>
  <c r="K8" i="13"/>
  <c r="K9" i="13"/>
  <c r="K10" i="13"/>
  <c r="J5" i="13"/>
  <c r="J6" i="13"/>
  <c r="J7" i="13"/>
  <c r="J8" i="13"/>
  <c r="J9" i="13"/>
  <c r="J10" i="13"/>
  <c r="J4" i="13"/>
  <c r="I4" i="13"/>
  <c r="M11" i="13"/>
  <c r="N11" i="13"/>
  <c r="I5" i="13"/>
  <c r="I6" i="13"/>
  <c r="I7" i="13"/>
  <c r="I8" i="13"/>
  <c r="I9" i="13"/>
  <c r="I10" i="13"/>
  <c r="C5" i="13"/>
  <c r="C6" i="13"/>
  <c r="C7" i="13"/>
  <c r="C8" i="13"/>
  <c r="C9" i="13"/>
  <c r="C10" i="13"/>
  <c r="C4" i="13"/>
  <c r="B5" i="13"/>
  <c r="B6" i="13"/>
  <c r="B7" i="13"/>
  <c r="B8" i="13"/>
  <c r="B9" i="13"/>
  <c r="B10" i="13"/>
  <c r="B4" i="13"/>
  <c r="B11" i="13" l="1"/>
  <c r="I11" i="13"/>
  <c r="L11" i="13"/>
  <c r="K11" i="13"/>
  <c r="J11" i="13"/>
  <c r="C11" i="13"/>
  <c r="V33" i="1" l="1"/>
  <c r="Y33" i="1"/>
  <c r="AR33" i="1" s="1"/>
  <c r="AX33" i="1" s="1"/>
  <c r="BB33" i="1" s="1"/>
  <c r="BM33" i="1"/>
  <c r="V34" i="1"/>
  <c r="AR34" i="1"/>
  <c r="AX34" i="1" s="1"/>
  <c r="BB34" i="1" s="1"/>
  <c r="AS34" i="1"/>
  <c r="AT34" i="1" s="1"/>
  <c r="BM34" i="1"/>
  <c r="BN34" i="1"/>
  <c r="BO34" i="1" s="1"/>
  <c r="V35" i="1"/>
  <c r="Y35" i="1"/>
  <c r="AS35" i="1" s="1"/>
  <c r="AT35" i="1" s="1"/>
  <c r="AR35" i="1"/>
  <c r="AX35" i="1" s="1"/>
  <c r="BB35" i="1" s="1"/>
  <c r="BM35" i="1"/>
  <c r="V36" i="1"/>
  <c r="Y36" i="1"/>
  <c r="AR36" i="1" s="1"/>
  <c r="AX36" i="1" s="1"/>
  <c r="BB36" i="1" s="1"/>
  <c r="BM36" i="1"/>
  <c r="V37" i="1"/>
  <c r="Y37" i="1"/>
  <c r="AS37" i="1" s="1"/>
  <c r="AT37" i="1" s="1"/>
  <c r="BM37" i="1"/>
  <c r="V38" i="1"/>
  <c r="Y38" i="1"/>
  <c r="AS38" i="1" s="1"/>
  <c r="AT38" i="1" s="1"/>
  <c r="BM38" i="1"/>
  <c r="V39" i="1"/>
  <c r="AR39" i="1"/>
  <c r="AX39" i="1" s="1"/>
  <c r="BB39" i="1" s="1"/>
  <c r="AS39" i="1"/>
  <c r="AT39" i="1" s="1"/>
  <c r="BM39" i="1"/>
  <c r="BN39" i="1"/>
  <c r="BO39" i="1" s="1"/>
  <c r="V40" i="1"/>
  <c r="AR40" i="1"/>
  <c r="AX40" i="1" s="1"/>
  <c r="BB40" i="1" s="1"/>
  <c r="AS40" i="1"/>
  <c r="AU40" i="1" s="1"/>
  <c r="BM40" i="1"/>
  <c r="BN40" i="1"/>
  <c r="BO40" i="1" s="1"/>
  <c r="V41" i="1"/>
  <c r="Y41" i="1"/>
  <c r="BN41" i="1" s="1"/>
  <c r="BO41" i="1" s="1"/>
  <c r="BM41" i="1"/>
  <c r="V42" i="1"/>
  <c r="Y42" i="1"/>
  <c r="AR42" i="1" s="1"/>
  <c r="AX42" i="1" s="1"/>
  <c r="BB42" i="1" s="1"/>
  <c r="BM42" i="1"/>
  <c r="V43" i="1"/>
  <c r="Y43" i="1"/>
  <c r="BN43" i="1" s="1"/>
  <c r="BO43" i="1" s="1"/>
  <c r="BM43" i="1"/>
  <c r="AR38" i="1" l="1"/>
  <c r="AX38" i="1" s="1"/>
  <c r="BB38" i="1" s="1"/>
  <c r="AR37" i="1"/>
  <c r="AX37" i="1" s="1"/>
  <c r="BB37" i="1" s="1"/>
  <c r="BN37" i="1"/>
  <c r="BO37" i="1" s="1"/>
  <c r="BN36" i="1"/>
  <c r="BO36" i="1" s="1"/>
  <c r="BN38" i="1"/>
  <c r="BO38" i="1" s="1"/>
  <c r="AS36" i="1"/>
  <c r="AT36" i="1" s="1"/>
  <c r="BN35" i="1"/>
  <c r="BO35" i="1" s="1"/>
  <c r="AS43" i="1"/>
  <c r="AT43" i="1" s="1"/>
  <c r="AS41" i="1"/>
  <c r="AU41" i="1" s="1"/>
  <c r="AR43" i="1"/>
  <c r="AX43" i="1" s="1"/>
  <c r="BB43" i="1" s="1"/>
  <c r="AR41" i="1"/>
  <c r="AX41" i="1" s="1"/>
  <c r="BB41" i="1" s="1"/>
  <c r="AS42" i="1"/>
  <c r="AU42" i="1" s="1"/>
  <c r="BN42" i="1"/>
  <c r="BP42" i="1" s="1"/>
  <c r="BN33" i="1"/>
  <c r="BP33" i="1" s="1"/>
  <c r="AS33" i="1"/>
  <c r="AU33" i="1" s="1"/>
  <c r="BP34" i="1"/>
  <c r="BQ34" i="1" s="1"/>
  <c r="BR34" i="1" s="1"/>
  <c r="BP40" i="1"/>
  <c r="BQ40" i="1" s="1"/>
  <c r="BR40" i="1" s="1"/>
  <c r="AU34" i="1"/>
  <c r="AV34" i="1" s="1"/>
  <c r="AW34" i="1" s="1"/>
  <c r="AT40" i="1"/>
  <c r="AV40" i="1" s="1"/>
  <c r="AW40" i="1" s="1"/>
  <c r="AU35" i="1"/>
  <c r="AV35" i="1" s="1"/>
  <c r="AW35" i="1" s="1"/>
  <c r="BP41" i="1"/>
  <c r="BQ41" i="1" s="1"/>
  <c r="BR41" i="1" s="1"/>
  <c r="BP43" i="1"/>
  <c r="BQ43" i="1" s="1"/>
  <c r="BR43" i="1" s="1"/>
  <c r="AU38" i="1"/>
  <c r="AV38" i="1" s="1"/>
  <c r="AU37" i="1"/>
  <c r="AV37" i="1" s="1"/>
  <c r="BP39" i="1"/>
  <c r="BQ39" i="1" s="1"/>
  <c r="BR39" i="1" s="1"/>
  <c r="AU39" i="1"/>
  <c r="AV39" i="1" s="1"/>
  <c r="AW39" i="1" s="1"/>
  <c r="AU43" i="1" l="1"/>
  <c r="AV43" i="1" s="1"/>
  <c r="AW43" i="1" s="1"/>
  <c r="AW38" i="1"/>
  <c r="AW37" i="1"/>
  <c r="AU36" i="1"/>
  <c r="AV36" i="1" s="1"/>
  <c r="AW36" i="1" s="1"/>
  <c r="BO33" i="1"/>
  <c r="BQ33" i="1" s="1"/>
  <c r="BR33" i="1" s="1"/>
  <c r="BP37" i="1"/>
  <c r="BQ37" i="1" s="1"/>
  <c r="BR37" i="1" s="1"/>
  <c r="AT33" i="1"/>
  <c r="AV33" i="1" s="1"/>
  <c r="AW33" i="1" s="1"/>
  <c r="BP38" i="1"/>
  <c r="BQ38" i="1" s="1"/>
  <c r="BR38" i="1" s="1"/>
  <c r="BO42" i="1"/>
  <c r="BQ42" i="1" s="1"/>
  <c r="BR42" i="1" s="1"/>
  <c r="BP36" i="1"/>
  <c r="BQ36" i="1" s="1"/>
  <c r="BR36" i="1" s="1"/>
  <c r="BP35" i="1"/>
  <c r="BQ35" i="1" s="1"/>
  <c r="BR35" i="1" s="1"/>
  <c r="AT42" i="1"/>
  <c r="AV42" i="1" s="1"/>
  <c r="AW42" i="1" s="1"/>
  <c r="AT41" i="1"/>
  <c r="AV41" i="1" s="1"/>
  <c r="AW41" i="1" s="1"/>
  <c r="E4" i="14"/>
  <c r="K3" i="14"/>
  <c r="I4" i="14"/>
  <c r="J4" i="14"/>
  <c r="E6" i="14"/>
  <c r="K5" i="14"/>
  <c r="J6" i="14"/>
  <c r="E8" i="14"/>
  <c r="K7" i="14"/>
  <c r="C7" i="14"/>
  <c r="I8" i="14"/>
  <c r="J8" i="14"/>
  <c r="E10" i="14"/>
  <c r="K9" i="14"/>
  <c r="I10" i="14"/>
  <c r="J10" i="14"/>
  <c r="E12" i="14"/>
  <c r="K11" i="14"/>
  <c r="C11" i="14"/>
  <c r="I12" i="14"/>
  <c r="J12" i="14"/>
  <c r="E14" i="14"/>
  <c r="K13" i="14"/>
  <c r="I14" i="14"/>
  <c r="J14" i="14"/>
  <c r="E16" i="14"/>
  <c r="K15" i="14"/>
  <c r="I16" i="14"/>
  <c r="J16" i="14"/>
  <c r="B17" i="14"/>
  <c r="E17" i="14"/>
  <c r="I17" i="14"/>
  <c r="J17" i="14"/>
  <c r="K17" i="14"/>
  <c r="B3" i="14" l="1"/>
  <c r="C3" i="14"/>
  <c r="D4" i="13"/>
  <c r="F4" i="13"/>
  <c r="F3" i="14" s="1"/>
  <c r="O4" i="13"/>
  <c r="L4" i="14" s="1"/>
  <c r="D3" i="14" l="1"/>
  <c r="B5" i="14"/>
  <c r="C5" i="14"/>
  <c r="D5" i="13"/>
  <c r="D5" i="14" s="1"/>
  <c r="F5" i="13"/>
  <c r="F5" i="14" s="1"/>
  <c r="I6" i="14" l="1"/>
  <c r="O5" i="13"/>
  <c r="L6" i="14" s="1"/>
  <c r="T5" i="13"/>
  <c r="AF5" i="13"/>
  <c r="AG5" i="13"/>
  <c r="AH5" i="13"/>
  <c r="B7" i="14" l="1"/>
  <c r="D6" i="13"/>
  <c r="F6" i="13"/>
  <c r="F7" i="14" s="1"/>
  <c r="O6" i="13"/>
  <c r="L8" i="14" s="1"/>
  <c r="S6" i="13"/>
  <c r="T6" i="13"/>
  <c r="AG6" i="13" s="1"/>
  <c r="U6" i="13"/>
  <c r="Y6" i="13"/>
  <c r="Z6" i="13"/>
  <c r="AD6" i="13"/>
  <c r="AF6" i="13" l="1"/>
  <c r="AH6" i="13"/>
  <c r="D7" i="14"/>
  <c r="B9" i="14"/>
  <c r="C9" i="14"/>
  <c r="D7" i="13"/>
  <c r="D9" i="14" s="1"/>
  <c r="F7" i="13"/>
  <c r="F9" i="14" s="1"/>
  <c r="O7" i="13"/>
  <c r="L10" i="14" s="1"/>
  <c r="T7" i="13"/>
  <c r="U7" i="13"/>
  <c r="AF7" i="13" s="1"/>
  <c r="Y7" i="13"/>
  <c r="AD7" i="13"/>
  <c r="AG7" i="13" l="1"/>
  <c r="B11" i="14"/>
  <c r="AH7" i="13"/>
  <c r="D8" i="13"/>
  <c r="D11" i="14" s="1"/>
  <c r="F8" i="13"/>
  <c r="F11" i="14" s="1"/>
  <c r="O8" i="13"/>
  <c r="L12" i="14" s="1"/>
  <c r="R8" i="13"/>
  <c r="T8" i="13"/>
  <c r="U8" i="13"/>
  <c r="AF8" i="13" s="1"/>
  <c r="V8" i="13"/>
  <c r="AB8" i="13"/>
  <c r="AG8" i="13" l="1"/>
  <c r="B13" i="14"/>
  <c r="C13" i="14"/>
  <c r="AH8" i="13"/>
  <c r="D9" i="13"/>
  <c r="D13" i="14" s="1"/>
  <c r="F9" i="13"/>
  <c r="F13" i="14" s="1"/>
  <c r="O9" i="13"/>
  <c r="L14" i="14" s="1"/>
  <c r="S9" i="13"/>
  <c r="T9" i="13"/>
  <c r="U9" i="13"/>
  <c r="Y9" i="13"/>
  <c r="Z9" i="13"/>
  <c r="AC9" i="13"/>
  <c r="AD9" i="13"/>
  <c r="AE9" i="13"/>
  <c r="AH9" i="13"/>
  <c r="AF9" i="13" l="1"/>
  <c r="AG9" i="13"/>
  <c r="B15" i="14"/>
  <c r="C15" i="14"/>
  <c r="D10" i="13"/>
  <c r="D15" i="14" s="1"/>
  <c r="F10" i="13"/>
  <c r="F15" i="14" s="1"/>
  <c r="O10" i="13"/>
  <c r="L16" i="14" s="1"/>
  <c r="R10" i="13"/>
  <c r="AG10" i="13" s="1"/>
  <c r="V10" i="13"/>
  <c r="X10" i="13"/>
  <c r="AB10" i="13"/>
  <c r="AC10" i="13"/>
  <c r="AF10" i="13" s="1"/>
  <c r="D11" i="13" l="1"/>
  <c r="D17" i="14" s="1"/>
  <c r="C17" i="14"/>
  <c r="AH10" i="13"/>
  <c r="F11" i="13"/>
  <c r="F17" i="14" s="1"/>
  <c r="O11" i="13"/>
  <c r="L17" i="14" s="1"/>
  <c r="Y11" i="13"/>
  <c r="AH11" i="13" s="1"/>
  <c r="AG11" i="13"/>
  <c r="T12" i="13"/>
  <c r="U12" i="13"/>
  <c r="AB12" i="13"/>
  <c r="AG12" i="13" s="1"/>
  <c r="AE12" i="13"/>
  <c r="AE20" i="13" s="1"/>
  <c r="V13" i="13"/>
  <c r="X13" i="13"/>
  <c r="X20" i="13" s="1"/>
  <c r="AF13" i="13"/>
  <c r="U14" i="13"/>
  <c r="AF14" i="13" s="1"/>
  <c r="AG14" i="13"/>
  <c r="AH14" i="13"/>
  <c r="K15" i="13"/>
  <c r="U15" i="13"/>
  <c r="AH15" i="13" s="1"/>
  <c r="AF15" i="13"/>
  <c r="AG15" i="13"/>
  <c r="K16" i="13"/>
  <c r="U16" i="13"/>
  <c r="AF16" i="13"/>
  <c r="AG16" i="13"/>
  <c r="AH16" i="13"/>
  <c r="T17" i="13"/>
  <c r="AH17" i="13" s="1"/>
  <c r="V17" i="13"/>
  <c r="AF17" i="13"/>
  <c r="U18" i="13"/>
  <c r="V18" i="13"/>
  <c r="Y18" i="13"/>
  <c r="AF18" i="13"/>
  <c r="AG18" i="13"/>
  <c r="U19" i="13"/>
  <c r="AF19" i="13" s="1"/>
  <c r="AG19" i="13"/>
  <c r="R20" i="13"/>
  <c r="S20" i="13"/>
  <c r="W20" i="13"/>
  <c r="Y20" i="13"/>
  <c r="Z20" i="13"/>
  <c r="AA20" i="13"/>
  <c r="AB20" i="13"/>
  <c r="AC20" i="13"/>
  <c r="AD20" i="13"/>
  <c r="C22" i="13"/>
  <c r="V48" i="13"/>
  <c r="AS145" i="1"/>
  <c r="AT145" i="1" s="1"/>
  <c r="AR257" i="1"/>
  <c r="AR258" i="1"/>
  <c r="AR259" i="1"/>
  <c r="AR260" i="1"/>
  <c r="AS132" i="1"/>
  <c r="AS134" i="1"/>
  <c r="AF11" i="13" l="1"/>
  <c r="T20" i="13"/>
  <c r="AH20" i="13" s="1"/>
  <c r="AH18" i="13"/>
  <c r="AH12" i="13"/>
  <c r="V20" i="13"/>
  <c r="AG20" i="13"/>
  <c r="AH13" i="13"/>
  <c r="AG17" i="13"/>
  <c r="U20" i="13"/>
  <c r="AF20" i="13" s="1"/>
  <c r="AF12" i="13"/>
  <c r="AG13" i="13"/>
  <c r="AH19" i="13"/>
  <c r="AS67" i="1" l="1"/>
  <c r="U425" i="1"/>
  <c r="V425" i="1" s="1"/>
  <c r="U426" i="1"/>
  <c r="V426" i="1" s="1"/>
  <c r="U427" i="1"/>
  <c r="V427" i="1" s="1"/>
  <c r="U428" i="1"/>
  <c r="V428" i="1" s="1"/>
  <c r="U429" i="1"/>
  <c r="V429" i="1" s="1"/>
  <c r="U430" i="1"/>
  <c r="V430" i="1" s="1"/>
  <c r="U431" i="1"/>
  <c r="V431" i="1" s="1"/>
  <c r="U432" i="1"/>
  <c r="V432" i="1" s="1"/>
  <c r="U433" i="1"/>
  <c r="V433" i="1" s="1"/>
  <c r="U434" i="1"/>
  <c r="V434" i="1" s="1"/>
  <c r="U435" i="1"/>
  <c r="V435" i="1" s="1"/>
  <c r="U436" i="1"/>
  <c r="V436" i="1" s="1"/>
  <c r="U437" i="1"/>
  <c r="V437" i="1" s="1"/>
  <c r="U438" i="1"/>
  <c r="V438" i="1" s="1"/>
  <c r="U439" i="1"/>
  <c r="V439" i="1" s="1"/>
  <c r="AR425" i="1"/>
  <c r="AR426" i="1"/>
  <c r="AR427" i="1"/>
  <c r="AR428" i="1"/>
  <c r="AR429" i="1"/>
  <c r="AR430" i="1"/>
  <c r="AR431" i="1"/>
  <c r="AR432" i="1"/>
  <c r="AR433" i="1"/>
  <c r="AR434" i="1"/>
  <c r="AR435" i="1"/>
  <c r="AR436" i="1"/>
  <c r="AR437" i="1"/>
  <c r="AR438" i="1"/>
  <c r="AR439" i="1"/>
  <c r="AS425" i="1"/>
  <c r="AU425" i="1" s="1"/>
  <c r="AS426" i="1"/>
  <c r="AV426" i="1" s="1"/>
  <c r="AS427" i="1"/>
  <c r="AT427" i="1" s="1"/>
  <c r="AS428" i="1"/>
  <c r="AT428" i="1" s="1"/>
  <c r="AS429" i="1"/>
  <c r="AT429" i="1" s="1"/>
  <c r="AS430" i="1"/>
  <c r="AU430" i="1" s="1"/>
  <c r="AS431" i="1"/>
  <c r="AU431" i="1" s="1"/>
  <c r="AS432" i="1"/>
  <c r="AT432" i="1" s="1"/>
  <c r="AS433" i="1"/>
  <c r="AU433" i="1" s="1"/>
  <c r="AS434" i="1"/>
  <c r="AV434" i="1" s="1"/>
  <c r="AS435" i="1"/>
  <c r="AU435" i="1" s="1"/>
  <c r="AS436" i="1"/>
  <c r="AT436" i="1" s="1"/>
  <c r="AS437" i="1"/>
  <c r="AT437" i="1" s="1"/>
  <c r="AS438" i="1"/>
  <c r="AU438" i="1" s="1"/>
  <c r="AS439" i="1"/>
  <c r="AU439" i="1" s="1"/>
  <c r="BM425" i="1"/>
  <c r="BM426" i="1"/>
  <c r="BM427" i="1"/>
  <c r="BM428" i="1"/>
  <c r="BM429" i="1"/>
  <c r="BM430" i="1"/>
  <c r="BM431" i="1"/>
  <c r="BM432" i="1"/>
  <c r="BM433" i="1"/>
  <c r="BM434" i="1"/>
  <c r="BM435" i="1"/>
  <c r="BM436" i="1"/>
  <c r="BM437" i="1"/>
  <c r="BM438" i="1"/>
  <c r="BM439" i="1"/>
  <c r="BN425" i="1"/>
  <c r="BO425" i="1" s="1"/>
  <c r="BN426" i="1"/>
  <c r="BO426" i="1" s="1"/>
  <c r="BN427" i="1"/>
  <c r="BO427" i="1" s="1"/>
  <c r="BN428" i="1"/>
  <c r="BO428" i="1" s="1"/>
  <c r="BN429" i="1"/>
  <c r="BP429" i="1" s="1"/>
  <c r="BN430" i="1"/>
  <c r="BP430" i="1" s="1"/>
  <c r="BN431" i="1"/>
  <c r="BO431" i="1" s="1"/>
  <c r="BN432" i="1"/>
  <c r="BP432" i="1" s="1"/>
  <c r="BN433" i="1"/>
  <c r="BO433" i="1" s="1"/>
  <c r="BN434" i="1"/>
  <c r="BO434" i="1" s="1"/>
  <c r="BN435" i="1"/>
  <c r="BO435" i="1" s="1"/>
  <c r="BN436" i="1"/>
  <c r="BO436" i="1" s="1"/>
  <c r="BN437" i="1"/>
  <c r="BP437" i="1" s="1"/>
  <c r="BN438" i="1"/>
  <c r="BP438" i="1" s="1"/>
  <c r="BN439" i="1"/>
  <c r="BO439" i="1" s="1"/>
  <c r="AR88" i="1"/>
  <c r="AS88" i="1"/>
  <c r="AR91" i="1"/>
  <c r="AS91" i="1"/>
  <c r="AR89" i="1"/>
  <c r="AS89" i="1"/>
  <c r="AR90" i="1"/>
  <c r="AS90" i="1"/>
  <c r="AR280" i="1"/>
  <c r="AS280" i="1"/>
  <c r="AR145" i="1"/>
  <c r="AR115" i="1"/>
  <c r="AS115" i="1"/>
  <c r="AR116" i="1"/>
  <c r="AS116" i="1"/>
  <c r="AR267" i="1"/>
  <c r="AS267" i="1"/>
  <c r="AR281" i="1"/>
  <c r="AS281" i="1"/>
  <c r="AR278" i="1"/>
  <c r="AS278" i="1"/>
  <c r="AR279" i="1"/>
  <c r="AS279" i="1"/>
  <c r="AU279" i="1" s="1"/>
  <c r="AR269" i="1"/>
  <c r="AS269" i="1"/>
  <c r="AR270" i="1"/>
  <c r="AS270" i="1"/>
  <c r="AT270" i="1" s="1"/>
  <c r="AR271" i="1"/>
  <c r="AS271" i="1"/>
  <c r="AT271" i="1" s="1"/>
  <c r="AR272" i="1"/>
  <c r="AS272" i="1"/>
  <c r="AU272" i="1" s="1"/>
  <c r="AR273" i="1"/>
  <c r="AS273" i="1"/>
  <c r="AR163" i="1"/>
  <c r="AS163" i="1"/>
  <c r="AR164" i="1"/>
  <c r="AS164" i="1"/>
  <c r="AT164" i="1" s="1"/>
  <c r="AR165" i="1"/>
  <c r="AS165" i="1"/>
  <c r="AT165" i="1" s="1"/>
  <c r="AR166" i="1"/>
  <c r="AS166" i="1"/>
  <c r="AU166" i="1" s="1"/>
  <c r="AR167" i="1"/>
  <c r="AS167" i="1"/>
  <c r="AT167" i="1" s="1"/>
  <c r="AR168" i="1"/>
  <c r="AS168" i="1"/>
  <c r="AU168" i="1" s="1"/>
  <c r="AR169" i="1"/>
  <c r="AS169" i="1"/>
  <c r="AU169" i="1" s="1"/>
  <c r="AR170" i="1"/>
  <c r="AS170" i="1"/>
  <c r="AU170" i="1" s="1"/>
  <c r="AR171" i="1"/>
  <c r="AS171" i="1"/>
  <c r="AT171" i="1" s="1"/>
  <c r="AR172" i="1"/>
  <c r="AS172" i="1"/>
  <c r="AR173" i="1"/>
  <c r="AS173" i="1"/>
  <c r="AU173" i="1" s="1"/>
  <c r="AR174" i="1"/>
  <c r="AS174" i="1"/>
  <c r="AT174" i="1" s="1"/>
  <c r="AR175" i="1"/>
  <c r="AS175" i="1"/>
  <c r="AT175" i="1" s="1"/>
  <c r="AR176" i="1"/>
  <c r="AS176" i="1"/>
  <c r="AU176" i="1" s="1"/>
  <c r="AR177" i="1"/>
  <c r="AS177" i="1"/>
  <c r="AU177" i="1" s="1"/>
  <c r="AR178" i="1"/>
  <c r="AS178" i="1"/>
  <c r="AU178" i="1" s="1"/>
  <c r="AR179" i="1"/>
  <c r="AS179" i="1"/>
  <c r="AU179" i="1" s="1"/>
  <c r="AR180" i="1"/>
  <c r="AS180" i="1"/>
  <c r="AT180" i="1" s="1"/>
  <c r="AR181" i="1"/>
  <c r="AS181" i="1"/>
  <c r="AR182" i="1"/>
  <c r="AS182" i="1"/>
  <c r="AT182" i="1" s="1"/>
  <c r="AR183" i="1"/>
  <c r="AS183" i="1"/>
  <c r="AT183" i="1" s="1"/>
  <c r="AR184" i="1"/>
  <c r="AS184" i="1"/>
  <c r="AU184" i="1" s="1"/>
  <c r="AR185" i="1"/>
  <c r="AS185" i="1"/>
  <c r="AU185" i="1" s="1"/>
  <c r="AR186" i="1"/>
  <c r="AS186" i="1"/>
  <c r="AT186" i="1" s="1"/>
  <c r="AR187" i="1"/>
  <c r="AS187" i="1"/>
  <c r="AT187" i="1" s="1"/>
  <c r="AR188" i="1"/>
  <c r="AS188" i="1"/>
  <c r="AR189" i="1"/>
  <c r="AS189" i="1"/>
  <c r="AR190" i="1"/>
  <c r="AS190" i="1"/>
  <c r="AT190" i="1" s="1"/>
  <c r="AR191" i="1"/>
  <c r="AS191" i="1"/>
  <c r="AT191" i="1" s="1"/>
  <c r="AR192" i="1"/>
  <c r="AS192" i="1"/>
  <c r="AU192" i="1" s="1"/>
  <c r="AR193" i="1"/>
  <c r="AS193" i="1"/>
  <c r="AT193" i="1" s="1"/>
  <c r="AR194" i="1"/>
  <c r="AS194" i="1"/>
  <c r="AU194" i="1" s="1"/>
  <c r="AR195" i="1"/>
  <c r="AS195" i="1"/>
  <c r="AT195" i="1" s="1"/>
  <c r="AR196" i="1"/>
  <c r="AS196" i="1"/>
  <c r="AR197" i="1"/>
  <c r="AS197" i="1"/>
  <c r="AU197" i="1" s="1"/>
  <c r="AR198" i="1"/>
  <c r="AS198" i="1"/>
  <c r="AU198" i="1" s="1"/>
  <c r="AR199" i="1"/>
  <c r="AS199" i="1"/>
  <c r="AU199" i="1" s="1"/>
  <c r="AR154" i="1"/>
  <c r="AS154" i="1"/>
  <c r="AR155" i="1"/>
  <c r="AS155" i="1"/>
  <c r="AT155" i="1" s="1"/>
  <c r="AR274" i="1"/>
  <c r="AS274" i="1"/>
  <c r="AU274" i="1" s="1"/>
  <c r="AR275" i="1"/>
  <c r="AS275" i="1"/>
  <c r="AT275" i="1" s="1"/>
  <c r="AS282" i="1"/>
  <c r="AU282" i="1" s="1"/>
  <c r="AR283" i="1"/>
  <c r="AS283" i="1"/>
  <c r="AT283" i="1" s="1"/>
  <c r="AR284" i="1"/>
  <c r="AS284" i="1"/>
  <c r="AR285" i="1"/>
  <c r="AS285" i="1"/>
  <c r="AR286" i="1"/>
  <c r="AS286" i="1"/>
  <c r="AT286" i="1" s="1"/>
  <c r="AR287" i="1"/>
  <c r="AS287" i="1"/>
  <c r="AT287" i="1" s="1"/>
  <c r="AR288" i="1"/>
  <c r="AS288" i="1"/>
  <c r="AT288" i="1" s="1"/>
  <c r="AR289" i="1"/>
  <c r="AS289" i="1"/>
  <c r="AT289" i="1" s="1"/>
  <c r="AR290" i="1"/>
  <c r="AS290" i="1"/>
  <c r="AT290" i="1" s="1"/>
  <c r="AR291" i="1"/>
  <c r="AS291" i="1"/>
  <c r="AU291" i="1" s="1"/>
  <c r="AR292" i="1"/>
  <c r="AS292" i="1"/>
  <c r="AT292" i="1" s="1"/>
  <c r="AR293" i="1"/>
  <c r="AS293" i="1"/>
  <c r="AT293" i="1" s="1"/>
  <c r="AR294" i="1"/>
  <c r="AS294" i="1"/>
  <c r="AT294" i="1" s="1"/>
  <c r="AR295" i="1"/>
  <c r="AS295" i="1"/>
  <c r="AT295" i="1" s="1"/>
  <c r="AR296" i="1"/>
  <c r="AS296" i="1"/>
  <c r="AT296" i="1" s="1"/>
  <c r="AR297" i="1"/>
  <c r="AS297" i="1"/>
  <c r="AT297" i="1" s="1"/>
  <c r="AR298" i="1"/>
  <c r="AS298" i="1"/>
  <c r="AU298" i="1" s="1"/>
  <c r="AR299" i="1"/>
  <c r="AS299" i="1"/>
  <c r="AT299" i="1" s="1"/>
  <c r="AR300" i="1"/>
  <c r="AS300" i="1"/>
  <c r="AU300" i="1" s="1"/>
  <c r="AR301" i="1"/>
  <c r="AS301" i="1"/>
  <c r="AT301" i="1" s="1"/>
  <c r="AR302" i="1"/>
  <c r="AS302" i="1"/>
  <c r="AU302" i="1" s="1"/>
  <c r="AR303" i="1"/>
  <c r="AS303" i="1"/>
  <c r="AT303" i="1" s="1"/>
  <c r="AR304" i="1"/>
  <c r="AS304" i="1"/>
  <c r="AU304" i="1" s="1"/>
  <c r="AR305" i="1"/>
  <c r="AS305" i="1"/>
  <c r="AT305" i="1" s="1"/>
  <c r="AR306" i="1"/>
  <c r="AS306" i="1"/>
  <c r="AU306" i="1" s="1"/>
  <c r="AR307" i="1"/>
  <c r="AS307" i="1"/>
  <c r="AT307" i="1" s="1"/>
  <c r="AR308" i="1"/>
  <c r="AS308" i="1"/>
  <c r="AU308" i="1" s="1"/>
  <c r="AR309" i="1"/>
  <c r="AS309" i="1"/>
  <c r="AT309" i="1" s="1"/>
  <c r="AR310" i="1"/>
  <c r="AS310" i="1"/>
  <c r="AU310" i="1" s="1"/>
  <c r="AR311" i="1"/>
  <c r="AS311" i="1"/>
  <c r="AU311" i="1" s="1"/>
  <c r="AR312" i="1"/>
  <c r="AS312" i="1"/>
  <c r="AR313" i="1"/>
  <c r="AS313" i="1"/>
  <c r="AT313" i="1" s="1"/>
  <c r="AR314" i="1"/>
  <c r="AS314" i="1"/>
  <c r="AR315" i="1"/>
  <c r="AS315" i="1"/>
  <c r="AU315" i="1" s="1"/>
  <c r="AR316" i="1"/>
  <c r="AS316" i="1"/>
  <c r="AT316" i="1" s="1"/>
  <c r="AR317" i="1"/>
  <c r="AS317" i="1"/>
  <c r="AT317" i="1" s="1"/>
  <c r="AR318" i="1"/>
  <c r="AS318" i="1"/>
  <c r="AR319" i="1"/>
  <c r="AS319" i="1"/>
  <c r="AU319" i="1" s="1"/>
  <c r="AR320" i="1"/>
  <c r="AS320" i="1"/>
  <c r="AU320" i="1" s="1"/>
  <c r="AR321" i="1"/>
  <c r="AS321" i="1"/>
  <c r="AT321" i="1" s="1"/>
  <c r="AR322" i="1"/>
  <c r="AS322" i="1"/>
  <c r="AR323" i="1"/>
  <c r="AS323" i="1"/>
  <c r="AR324" i="1"/>
  <c r="AS324" i="1"/>
  <c r="AT324" i="1" s="1"/>
  <c r="AR325" i="1"/>
  <c r="AS325" i="1"/>
  <c r="AU325" i="1" s="1"/>
  <c r="AR326" i="1"/>
  <c r="AS326" i="1"/>
  <c r="AR327" i="1"/>
  <c r="AS327" i="1"/>
  <c r="AU327" i="1" s="1"/>
  <c r="AR328" i="1"/>
  <c r="AS328" i="1"/>
  <c r="AU328" i="1" s="1"/>
  <c r="AR329" i="1"/>
  <c r="AS329" i="1"/>
  <c r="AR330" i="1"/>
  <c r="AS330" i="1"/>
  <c r="AR331" i="1"/>
  <c r="AS331" i="1"/>
  <c r="AU331" i="1" s="1"/>
  <c r="AR332" i="1"/>
  <c r="AS332" i="1"/>
  <c r="AU332" i="1" s="1"/>
  <c r="AR333" i="1"/>
  <c r="AS333" i="1"/>
  <c r="AR334" i="1"/>
  <c r="AS334" i="1"/>
  <c r="AR335" i="1"/>
  <c r="AS335" i="1"/>
  <c r="AU335" i="1" s="1"/>
  <c r="AR336" i="1"/>
  <c r="AS336" i="1"/>
  <c r="AU336" i="1" s="1"/>
  <c r="AR337" i="1"/>
  <c r="AS337" i="1"/>
  <c r="AR338" i="1"/>
  <c r="AS338" i="1"/>
  <c r="AR339" i="1"/>
  <c r="AS339" i="1"/>
  <c r="AU339" i="1" s="1"/>
  <c r="AR340" i="1"/>
  <c r="AS340" i="1"/>
  <c r="AT340" i="1" s="1"/>
  <c r="AR341" i="1"/>
  <c r="AS341" i="1"/>
  <c r="AT341" i="1" s="1"/>
  <c r="AR342" i="1"/>
  <c r="AS342" i="1"/>
  <c r="AT342" i="1" s="1"/>
  <c r="AR343" i="1"/>
  <c r="AS343" i="1"/>
  <c r="AU343" i="1" s="1"/>
  <c r="AR344" i="1"/>
  <c r="AS344" i="1"/>
  <c r="AU344" i="1" s="1"/>
  <c r="AR345" i="1"/>
  <c r="AS345" i="1"/>
  <c r="AU345" i="1" s="1"/>
  <c r="AR346" i="1"/>
  <c r="AS346" i="1"/>
  <c r="AT346" i="1" s="1"/>
  <c r="AR347" i="1"/>
  <c r="AS347" i="1"/>
  <c r="AR348" i="1"/>
  <c r="AS348" i="1"/>
  <c r="AT348" i="1" s="1"/>
  <c r="AR349" i="1"/>
  <c r="AS349" i="1"/>
  <c r="AR350" i="1"/>
  <c r="AS350" i="1"/>
  <c r="AT350" i="1" s="1"/>
  <c r="AR351" i="1"/>
  <c r="AS351" i="1"/>
  <c r="AT351" i="1" s="1"/>
  <c r="AR352" i="1"/>
  <c r="AS352" i="1"/>
  <c r="AR353" i="1"/>
  <c r="AS353" i="1"/>
  <c r="AT353" i="1" s="1"/>
  <c r="AR354" i="1"/>
  <c r="AS354" i="1"/>
  <c r="AT354" i="1" s="1"/>
  <c r="AR355" i="1"/>
  <c r="AS355" i="1"/>
  <c r="AR356" i="1"/>
  <c r="AS356" i="1"/>
  <c r="AT356" i="1" s="1"/>
  <c r="AR357" i="1"/>
  <c r="AS357" i="1"/>
  <c r="AU357" i="1" s="1"/>
  <c r="AR358" i="1"/>
  <c r="AS358" i="1"/>
  <c r="AT358" i="1" s="1"/>
  <c r="AR359" i="1"/>
  <c r="AS359" i="1"/>
  <c r="AT359" i="1" s="1"/>
  <c r="AR360" i="1"/>
  <c r="AS360" i="1"/>
  <c r="AT360" i="1" s="1"/>
  <c r="AR361" i="1"/>
  <c r="AS361" i="1"/>
  <c r="AT361" i="1" s="1"/>
  <c r="AR362" i="1"/>
  <c r="AS362" i="1"/>
  <c r="AT362" i="1" s="1"/>
  <c r="AR363" i="1"/>
  <c r="AS363" i="1"/>
  <c r="AR364" i="1"/>
  <c r="AS364" i="1"/>
  <c r="AT364" i="1" s="1"/>
  <c r="AR365" i="1"/>
  <c r="AS365" i="1"/>
  <c r="AU365" i="1" s="1"/>
  <c r="AR366" i="1"/>
  <c r="AS366" i="1"/>
  <c r="AT366" i="1" s="1"/>
  <c r="AR367" i="1"/>
  <c r="AS367" i="1"/>
  <c r="AT367" i="1" s="1"/>
  <c r="AR368" i="1"/>
  <c r="AS368" i="1"/>
  <c r="AT368" i="1" s="1"/>
  <c r="AR369" i="1"/>
  <c r="AS369" i="1"/>
  <c r="AT369" i="1" s="1"/>
  <c r="AR370" i="1"/>
  <c r="AS370" i="1"/>
  <c r="AT370" i="1" s="1"/>
  <c r="AR371" i="1"/>
  <c r="AS371" i="1"/>
  <c r="AR372" i="1"/>
  <c r="AS372" i="1"/>
  <c r="AT372" i="1" s="1"/>
  <c r="AR373" i="1"/>
  <c r="AS373" i="1"/>
  <c r="AU373" i="1" s="1"/>
  <c r="AR374" i="1"/>
  <c r="AS374" i="1"/>
  <c r="AU374" i="1" s="1"/>
  <c r="AR375" i="1"/>
  <c r="AS375" i="1"/>
  <c r="AT375" i="1" s="1"/>
  <c r="AR376" i="1"/>
  <c r="AS376" i="1"/>
  <c r="AT376" i="1" s="1"/>
  <c r="AR377" i="1"/>
  <c r="AS377" i="1"/>
  <c r="AT377" i="1" s="1"/>
  <c r="AR378" i="1"/>
  <c r="AS378" i="1"/>
  <c r="AT378" i="1" s="1"/>
  <c r="AR379" i="1"/>
  <c r="AS379" i="1"/>
  <c r="AR380" i="1"/>
  <c r="AS380" i="1"/>
  <c r="AT380" i="1" s="1"/>
  <c r="AR381" i="1"/>
  <c r="AS381" i="1"/>
  <c r="AU381" i="1" s="1"/>
  <c r="AR382" i="1"/>
  <c r="AS382" i="1"/>
  <c r="AT382" i="1" s="1"/>
  <c r="AR383" i="1"/>
  <c r="AS383" i="1"/>
  <c r="AT383" i="1" s="1"/>
  <c r="AR384" i="1"/>
  <c r="AS384" i="1"/>
  <c r="AT384" i="1" s="1"/>
  <c r="AR385" i="1"/>
  <c r="AS385" i="1"/>
  <c r="AT385" i="1" s="1"/>
  <c r="AR386" i="1"/>
  <c r="AS386" i="1"/>
  <c r="AT386" i="1" s="1"/>
  <c r="AR387" i="1"/>
  <c r="AS387" i="1"/>
  <c r="AR388" i="1"/>
  <c r="AS388" i="1"/>
  <c r="AU388" i="1" s="1"/>
  <c r="AR389" i="1"/>
  <c r="AS389" i="1"/>
  <c r="AU389" i="1" s="1"/>
  <c r="AR390" i="1"/>
  <c r="AS390" i="1"/>
  <c r="AT390" i="1" s="1"/>
  <c r="AR391" i="1"/>
  <c r="AS391" i="1"/>
  <c r="AU391" i="1" s="1"/>
  <c r="AR392" i="1"/>
  <c r="AS392" i="1"/>
  <c r="AT392" i="1" s="1"/>
  <c r="AR393" i="1"/>
  <c r="AS393" i="1"/>
  <c r="AT393" i="1" s="1"/>
  <c r="AR394" i="1"/>
  <c r="AS394" i="1"/>
  <c r="AT394" i="1" s="1"/>
  <c r="AR395" i="1"/>
  <c r="AS395" i="1"/>
  <c r="AU395" i="1" s="1"/>
  <c r="AR396" i="1"/>
  <c r="AS396" i="1"/>
  <c r="AT396" i="1" s="1"/>
  <c r="AR397" i="1"/>
  <c r="AS397" i="1"/>
  <c r="AT397" i="1" s="1"/>
  <c r="AR398" i="1"/>
  <c r="AS398" i="1"/>
  <c r="AT398" i="1" s="1"/>
  <c r="AR399" i="1"/>
  <c r="AS399" i="1"/>
  <c r="AU399" i="1" s="1"/>
  <c r="AR400" i="1"/>
  <c r="AS400" i="1"/>
  <c r="AT400" i="1" s="1"/>
  <c r="AR401" i="1"/>
  <c r="AS401" i="1"/>
  <c r="AT401" i="1" s="1"/>
  <c r="AR402" i="1"/>
  <c r="AS402" i="1"/>
  <c r="AT402" i="1" s="1"/>
  <c r="AR403" i="1"/>
  <c r="AS403" i="1"/>
  <c r="AU403" i="1" s="1"/>
  <c r="AR404" i="1"/>
  <c r="AS404" i="1"/>
  <c r="AT404" i="1" s="1"/>
  <c r="AR405" i="1"/>
  <c r="AS405" i="1"/>
  <c r="AT405" i="1" s="1"/>
  <c r="AR406" i="1"/>
  <c r="AS406" i="1"/>
  <c r="AT406" i="1" s="1"/>
  <c r="AR407" i="1"/>
  <c r="AS407" i="1"/>
  <c r="AU407" i="1" s="1"/>
  <c r="AR408" i="1"/>
  <c r="AS408" i="1"/>
  <c r="AT408" i="1" s="1"/>
  <c r="AR409" i="1"/>
  <c r="AS409" i="1"/>
  <c r="AT409" i="1" s="1"/>
  <c r="AR410" i="1"/>
  <c r="AS410" i="1"/>
  <c r="AT410" i="1" s="1"/>
  <c r="AR411" i="1"/>
  <c r="AS411" i="1"/>
  <c r="AU411" i="1" s="1"/>
  <c r="AR412" i="1"/>
  <c r="AS412" i="1"/>
  <c r="AT412" i="1" s="1"/>
  <c r="AR413" i="1"/>
  <c r="AS413" i="1"/>
  <c r="AT413" i="1" s="1"/>
  <c r="AR414" i="1"/>
  <c r="AS414" i="1"/>
  <c r="AT414" i="1" s="1"/>
  <c r="AR415" i="1"/>
  <c r="AS415" i="1"/>
  <c r="AU415" i="1" s="1"/>
  <c r="AR416" i="1"/>
  <c r="AS416" i="1"/>
  <c r="AT416" i="1" s="1"/>
  <c r="AR417" i="1"/>
  <c r="AS417" i="1"/>
  <c r="AT417" i="1" s="1"/>
  <c r="AR418" i="1"/>
  <c r="AS418" i="1"/>
  <c r="AT418" i="1" s="1"/>
  <c r="AR419" i="1"/>
  <c r="AS419" i="1"/>
  <c r="AU419" i="1" s="1"/>
  <c r="AR420" i="1"/>
  <c r="AS420" i="1"/>
  <c r="AT420" i="1" s="1"/>
  <c r="AR421" i="1"/>
  <c r="AS421" i="1"/>
  <c r="AT421" i="1" s="1"/>
  <c r="AR422" i="1"/>
  <c r="AS422" i="1"/>
  <c r="AT422" i="1" s="1"/>
  <c r="AR423" i="1"/>
  <c r="AS423" i="1"/>
  <c r="AU423" i="1" s="1"/>
  <c r="AR424" i="1"/>
  <c r="AS424" i="1"/>
  <c r="AT424" i="1" s="1"/>
  <c r="AR29" i="1"/>
  <c r="AR67" i="1"/>
  <c r="AX67" i="1" s="1"/>
  <c r="AR68" i="1"/>
  <c r="AX68" i="1" s="1"/>
  <c r="AR69" i="1"/>
  <c r="AX69" i="1" s="1"/>
  <c r="AR70" i="1"/>
  <c r="AX70" i="1" s="1"/>
  <c r="AR71" i="1"/>
  <c r="AX71" i="1" s="1"/>
  <c r="AR72" i="1"/>
  <c r="AX72" i="1" s="1"/>
  <c r="AR73" i="1"/>
  <c r="AX73" i="1" s="1"/>
  <c r="AR74" i="1"/>
  <c r="AX74" i="1" s="1"/>
  <c r="AR75" i="1"/>
  <c r="AX75" i="1" s="1"/>
  <c r="AR76" i="1"/>
  <c r="AX76" i="1" s="1"/>
  <c r="AR77" i="1"/>
  <c r="AX77" i="1" s="1"/>
  <c r="AR82" i="1"/>
  <c r="AX82" i="1" s="1"/>
  <c r="AR83" i="1"/>
  <c r="AX83" i="1" s="1"/>
  <c r="AR84" i="1"/>
  <c r="AX84" i="1" s="1"/>
  <c r="AR81" i="1"/>
  <c r="AX81" i="1" s="1"/>
  <c r="AR85" i="1"/>
  <c r="AX85" i="1" s="1"/>
  <c r="AR86" i="1"/>
  <c r="AX86" i="1" s="1"/>
  <c r="AR92" i="1"/>
  <c r="AX92" i="1" s="1"/>
  <c r="AR93" i="1"/>
  <c r="AX93" i="1" s="1"/>
  <c r="AR94" i="1"/>
  <c r="AX94" i="1" s="1"/>
  <c r="AR95" i="1"/>
  <c r="AX95" i="1" s="1"/>
  <c r="AR96" i="1"/>
  <c r="AX96" i="1" s="1"/>
  <c r="AR97" i="1"/>
  <c r="AX97" i="1" s="1"/>
  <c r="AR98" i="1"/>
  <c r="AX98" i="1" s="1"/>
  <c r="AR103" i="1"/>
  <c r="AX103" i="1" s="1"/>
  <c r="AR104" i="1"/>
  <c r="AX104" i="1" s="1"/>
  <c r="AR105" i="1"/>
  <c r="AX105" i="1" s="1"/>
  <c r="AR106" i="1"/>
  <c r="AX106" i="1" s="1"/>
  <c r="AR107" i="1"/>
  <c r="AX107" i="1" s="1"/>
  <c r="AR117" i="1"/>
  <c r="AX117" i="1" s="1"/>
  <c r="AR118" i="1"/>
  <c r="AX118" i="1" s="1"/>
  <c r="AR125" i="1"/>
  <c r="AX125" i="1" s="1"/>
  <c r="AR126" i="1"/>
  <c r="AX126" i="1" s="1"/>
  <c r="AR127" i="1"/>
  <c r="AX127" i="1" s="1"/>
  <c r="BB127" i="1" s="1"/>
  <c r="AR134" i="1"/>
  <c r="AX134" i="1" s="1"/>
  <c r="AR135" i="1"/>
  <c r="AX135" i="1" s="1"/>
  <c r="AR136" i="1"/>
  <c r="AX136" i="1" s="1"/>
  <c r="AR137" i="1"/>
  <c r="AX137" i="1" s="1"/>
  <c r="AR138" i="1"/>
  <c r="AX138" i="1" s="1"/>
  <c r="AR139" i="1"/>
  <c r="AX139" i="1" s="1"/>
  <c r="AR140" i="1"/>
  <c r="AX140" i="1" s="1"/>
  <c r="AR132" i="1"/>
  <c r="AX132" i="1" s="1"/>
  <c r="AR133" i="1"/>
  <c r="AX133" i="1" s="1"/>
  <c r="BB133" i="1" s="1"/>
  <c r="AR141" i="1"/>
  <c r="AX141" i="1" s="1"/>
  <c r="AR142" i="1"/>
  <c r="AX142" i="1" s="1"/>
  <c r="BB142" i="1" s="1"/>
  <c r="AR143" i="1"/>
  <c r="AX143" i="1" s="1"/>
  <c r="BB143" i="1" s="1"/>
  <c r="AR144" i="1"/>
  <c r="AX144" i="1" s="1"/>
  <c r="AR146" i="1"/>
  <c r="AX146" i="1" s="1"/>
  <c r="BB146" i="1" s="1"/>
  <c r="AR147" i="1"/>
  <c r="AX147" i="1" s="1"/>
  <c r="BB147" i="1" s="1"/>
  <c r="AR148" i="1"/>
  <c r="AX148" i="1" s="1"/>
  <c r="AR149" i="1"/>
  <c r="AX149" i="1" s="1"/>
  <c r="AR150" i="1"/>
  <c r="AX150" i="1" s="1"/>
  <c r="BB150" i="1" s="1"/>
  <c r="AR151" i="1"/>
  <c r="AX151" i="1" s="1"/>
  <c r="AR152" i="1"/>
  <c r="AX152" i="1" s="1"/>
  <c r="AR153" i="1"/>
  <c r="AX153" i="1" s="1"/>
  <c r="BB153" i="1" s="1"/>
  <c r="AR156" i="1"/>
  <c r="AX156" i="1" s="1"/>
  <c r="AR157" i="1"/>
  <c r="AX157" i="1" s="1"/>
  <c r="AR200" i="1"/>
  <c r="AX200" i="1" s="1"/>
  <c r="AR201" i="1"/>
  <c r="AX201" i="1" s="1"/>
  <c r="AR202" i="1"/>
  <c r="AX202" i="1" s="1"/>
  <c r="AR203" i="1"/>
  <c r="AX203" i="1" s="1"/>
  <c r="AR204" i="1"/>
  <c r="AX204" i="1" s="1"/>
  <c r="AR205" i="1"/>
  <c r="AX205" i="1" s="1"/>
  <c r="AR206" i="1"/>
  <c r="AX206" i="1" s="1"/>
  <c r="AR207" i="1"/>
  <c r="AX207" i="1" s="1"/>
  <c r="AR208" i="1"/>
  <c r="AX208" i="1" s="1"/>
  <c r="AR209" i="1"/>
  <c r="AX209" i="1" s="1"/>
  <c r="AR210" i="1"/>
  <c r="AX210" i="1" s="1"/>
  <c r="AR211" i="1"/>
  <c r="AX211" i="1" s="1"/>
  <c r="AR212" i="1"/>
  <c r="AX212" i="1" s="1"/>
  <c r="AR213" i="1"/>
  <c r="AX213" i="1" s="1"/>
  <c r="AR214" i="1"/>
  <c r="AX214" i="1" s="1"/>
  <c r="AR215" i="1"/>
  <c r="AX215" i="1" s="1"/>
  <c r="AR216" i="1"/>
  <c r="AX216" i="1" s="1"/>
  <c r="AR217" i="1"/>
  <c r="AX217" i="1" s="1"/>
  <c r="AR218" i="1"/>
  <c r="AX218" i="1" s="1"/>
  <c r="AR219" i="1"/>
  <c r="AX219" i="1" s="1"/>
  <c r="AR220" i="1"/>
  <c r="AX220" i="1" s="1"/>
  <c r="AR221" i="1"/>
  <c r="AX221" i="1" s="1"/>
  <c r="AR222" i="1"/>
  <c r="AX222" i="1" s="1"/>
  <c r="AR223" i="1"/>
  <c r="AX223" i="1" s="1"/>
  <c r="AR224" i="1"/>
  <c r="AX224" i="1" s="1"/>
  <c r="AR225" i="1"/>
  <c r="AX225" i="1" s="1"/>
  <c r="AR228" i="1"/>
  <c r="AX228" i="1" s="1"/>
  <c r="AR229" i="1"/>
  <c r="AX229" i="1" s="1"/>
  <c r="AR230" i="1"/>
  <c r="AX230" i="1" s="1"/>
  <c r="BB230" i="1" s="1"/>
  <c r="AR248" i="1"/>
  <c r="AX248" i="1" s="1"/>
  <c r="AR249" i="1"/>
  <c r="AX249" i="1" s="1"/>
  <c r="AR250" i="1"/>
  <c r="AX250" i="1" s="1"/>
  <c r="AR251" i="1"/>
  <c r="AX251" i="1" s="1"/>
  <c r="AR268" i="1"/>
  <c r="AX268" i="1" s="1"/>
  <c r="AR252" i="1"/>
  <c r="AX252" i="1" s="1"/>
  <c r="AR253" i="1"/>
  <c r="AX253" i="1" s="1"/>
  <c r="AR254" i="1"/>
  <c r="AX254" i="1" s="1"/>
  <c r="AR255" i="1"/>
  <c r="AX255" i="1" s="1"/>
  <c r="AR256" i="1"/>
  <c r="AX256" i="1" s="1"/>
  <c r="AR78" i="1"/>
  <c r="AX78" i="1" s="1"/>
  <c r="BB78" i="1" s="1"/>
  <c r="AR80" i="1"/>
  <c r="AX80" i="1" s="1"/>
  <c r="AR79" i="1"/>
  <c r="AX79" i="1" s="1"/>
  <c r="BB79" i="1" s="1"/>
  <c r="AR45" i="1"/>
  <c r="AX45" i="1" s="1"/>
  <c r="AR46" i="1"/>
  <c r="AX46" i="1" s="1"/>
  <c r="AR47" i="1"/>
  <c r="AX47" i="1" s="1"/>
  <c r="AR48" i="1"/>
  <c r="AX48" i="1" s="1"/>
  <c r="AR49" i="1"/>
  <c r="AX49" i="1" s="1"/>
  <c r="AR50" i="1"/>
  <c r="AX50" i="1" s="1"/>
  <c r="AR51" i="1"/>
  <c r="AX51" i="1" s="1"/>
  <c r="AR52" i="1"/>
  <c r="AX52" i="1" s="1"/>
  <c r="AR53" i="1"/>
  <c r="AX53" i="1" s="1"/>
  <c r="AR54" i="1"/>
  <c r="AX54" i="1" s="1"/>
  <c r="AR55" i="1"/>
  <c r="AX55" i="1" s="1"/>
  <c r="AR56" i="1"/>
  <c r="AX56" i="1" s="1"/>
  <c r="AR57" i="1"/>
  <c r="AR58" i="1"/>
  <c r="AX58" i="1" s="1"/>
  <c r="AR59" i="1"/>
  <c r="AX59" i="1" s="1"/>
  <c r="AR60" i="1"/>
  <c r="AX60" i="1" s="1"/>
  <c r="AR61" i="1"/>
  <c r="AX61" i="1" s="1"/>
  <c r="AR62" i="1"/>
  <c r="AX62" i="1" s="1"/>
  <c r="AR63" i="1"/>
  <c r="AX63" i="1" s="1"/>
  <c r="AR64" i="1"/>
  <c r="AX64" i="1" s="1"/>
  <c r="AR65" i="1"/>
  <c r="AX65" i="1" s="1"/>
  <c r="AR66" i="1"/>
  <c r="AX66" i="1" s="1"/>
  <c r="AR113" i="1"/>
  <c r="AX113" i="1" s="1"/>
  <c r="AR114" i="1"/>
  <c r="AX114" i="1" s="1"/>
  <c r="AR100" i="1"/>
  <c r="AX100" i="1" s="1"/>
  <c r="AR101" i="1"/>
  <c r="AX101" i="1" s="1"/>
  <c r="AR102" i="1"/>
  <c r="AX102" i="1" s="1"/>
  <c r="AR8" i="1"/>
  <c r="AX8" i="1" s="1"/>
  <c r="AR9" i="1"/>
  <c r="AX9" i="1" s="1"/>
  <c r="AR10" i="1"/>
  <c r="AX10" i="1" s="1"/>
  <c r="AR11" i="1"/>
  <c r="AX11" i="1" s="1"/>
  <c r="AR12" i="1"/>
  <c r="AX12" i="1" s="1"/>
  <c r="AR13" i="1"/>
  <c r="AX13" i="1" s="1"/>
  <c r="AR14" i="1"/>
  <c r="AX14" i="1" s="1"/>
  <c r="AR15" i="1"/>
  <c r="AX15" i="1" s="1"/>
  <c r="AR16" i="1"/>
  <c r="AX16" i="1" s="1"/>
  <c r="AR17" i="1"/>
  <c r="AX17" i="1" s="1"/>
  <c r="AR18" i="1"/>
  <c r="AX18" i="1" s="1"/>
  <c r="AR19" i="1"/>
  <c r="AX19" i="1" s="1"/>
  <c r="AR20" i="1"/>
  <c r="AX20" i="1" s="1"/>
  <c r="AR131" i="1"/>
  <c r="AX131" i="1" s="1"/>
  <c r="BB131" i="1" s="1"/>
  <c r="AR161" i="1"/>
  <c r="AX161" i="1" s="1"/>
  <c r="AR162" i="1"/>
  <c r="AX162" i="1" s="1"/>
  <c r="AR266" i="1"/>
  <c r="AX266" i="1" s="1"/>
  <c r="BB266" i="1" s="1"/>
  <c r="AR160" i="1"/>
  <c r="AX160" i="1" s="1"/>
  <c r="AR158" i="1"/>
  <c r="AX158" i="1" s="1"/>
  <c r="AR159" i="1"/>
  <c r="AX159" i="1" s="1"/>
  <c r="AR26" i="1"/>
  <c r="AR27" i="1"/>
  <c r="AR21" i="1"/>
  <c r="AR22" i="1"/>
  <c r="AR23" i="1"/>
  <c r="AR24" i="1"/>
  <c r="AR25" i="1"/>
  <c r="AX257" i="1"/>
  <c r="BB257" i="1" s="1"/>
  <c r="AX258" i="1"/>
  <c r="BB258" i="1" s="1"/>
  <c r="AX259" i="1"/>
  <c r="BB259" i="1" s="1"/>
  <c r="AR261" i="1"/>
  <c r="AR262" i="1"/>
  <c r="AR263" i="1"/>
  <c r="AR246" i="1"/>
  <c r="AR247" i="1"/>
  <c r="AR276" i="1"/>
  <c r="AR277" i="1"/>
  <c r="AR28" i="1"/>
  <c r="AR236" i="1"/>
  <c r="AR237" i="1"/>
  <c r="AR238" i="1"/>
  <c r="AR239" i="1"/>
  <c r="AR240" i="1"/>
  <c r="AR242" i="1"/>
  <c r="AR243" i="1"/>
  <c r="AR244" i="1"/>
  <c r="AR111" i="1"/>
  <c r="AR129" i="1"/>
  <c r="AR130" i="1"/>
  <c r="AR232" i="1"/>
  <c r="AR233" i="1"/>
  <c r="AR234" i="1"/>
  <c r="AR235" i="1"/>
  <c r="AR241" i="1"/>
  <c r="AR245" i="1"/>
  <c r="AR110" i="1"/>
  <c r="AR122" i="1"/>
  <c r="AR108" i="1"/>
  <c r="AR109" i="1"/>
  <c r="AR124" i="1"/>
  <c r="AR4" i="1"/>
  <c r="AR119" i="1"/>
  <c r="AR120" i="1"/>
  <c r="AR121" i="1"/>
  <c r="AR231" i="1"/>
  <c r="AR5" i="1"/>
  <c r="AR6" i="1"/>
  <c r="AR265" i="1"/>
  <c r="AR99" i="1"/>
  <c r="AR112" i="1"/>
  <c r="AR226" i="1"/>
  <c r="AR3" i="1"/>
  <c r="AR128" i="1"/>
  <c r="AR7" i="1"/>
  <c r="AR44" i="1"/>
  <c r="AR123" i="1"/>
  <c r="AR227" i="1"/>
  <c r="AR264" i="1"/>
  <c r="BB260" i="1"/>
  <c r="BB262" i="1"/>
  <c r="BB263" i="1"/>
  <c r="AS159" i="1"/>
  <c r="AT159" i="1" s="1"/>
  <c r="AS26" i="1"/>
  <c r="AS27" i="1"/>
  <c r="AT27" i="1" s="1"/>
  <c r="AS21" i="1"/>
  <c r="AT21" i="1" s="1"/>
  <c r="AS22" i="1"/>
  <c r="AT22" i="1" s="1"/>
  <c r="AS23" i="1"/>
  <c r="AT23" i="1" s="1"/>
  <c r="AS24" i="1"/>
  <c r="AS25" i="1"/>
  <c r="AS257" i="1"/>
  <c r="AT257" i="1" s="1"/>
  <c r="AS258" i="1"/>
  <c r="AT258" i="1" s="1"/>
  <c r="AS259" i="1"/>
  <c r="AT259" i="1" s="1"/>
  <c r="AS260" i="1"/>
  <c r="AT260" i="1" s="1"/>
  <c r="AS261" i="1"/>
  <c r="AS262" i="1"/>
  <c r="AT262" i="1" s="1"/>
  <c r="AS263" i="1"/>
  <c r="AT263" i="1" s="1"/>
  <c r="AS246" i="1"/>
  <c r="AS247" i="1"/>
  <c r="AS276" i="1"/>
  <c r="AT276" i="1" s="1"/>
  <c r="AS277" i="1"/>
  <c r="AS28" i="1"/>
  <c r="AS236" i="1"/>
  <c r="AT236" i="1" s="1"/>
  <c r="AS237" i="1"/>
  <c r="AT237" i="1" s="1"/>
  <c r="AS238" i="1"/>
  <c r="AT238" i="1" s="1"/>
  <c r="AS239" i="1"/>
  <c r="AT239" i="1" s="1"/>
  <c r="AS240" i="1"/>
  <c r="AS242" i="1"/>
  <c r="AT242" i="1" s="1"/>
  <c r="AS243" i="1"/>
  <c r="AS244" i="1"/>
  <c r="AS111" i="1"/>
  <c r="AT111" i="1" s="1"/>
  <c r="AS129" i="1"/>
  <c r="AT129" i="1" s="1"/>
  <c r="AS130" i="1"/>
  <c r="AS232" i="1"/>
  <c r="AT232" i="1" s="1"/>
  <c r="AS233" i="1"/>
  <c r="AT233" i="1" s="1"/>
  <c r="AS234" i="1"/>
  <c r="AT234" i="1" s="1"/>
  <c r="AS235" i="1"/>
  <c r="AT235" i="1" s="1"/>
  <c r="AS241" i="1"/>
  <c r="AT241" i="1" s="1"/>
  <c r="AS245" i="1"/>
  <c r="AT245" i="1" s="1"/>
  <c r="AS110" i="1"/>
  <c r="AT110" i="1" s="1"/>
  <c r="AS122" i="1"/>
  <c r="AS108" i="1"/>
  <c r="AT108" i="1" s="1"/>
  <c r="AS109" i="1"/>
  <c r="AT109" i="1" s="1"/>
  <c r="AS124" i="1"/>
  <c r="AT124" i="1" s="1"/>
  <c r="AS4" i="1"/>
  <c r="AS119" i="1"/>
  <c r="AS120" i="1"/>
  <c r="AT120" i="1" s="1"/>
  <c r="AS121" i="1"/>
  <c r="AS231" i="1"/>
  <c r="AT231" i="1" s="1"/>
  <c r="AS5" i="1"/>
  <c r="AT5" i="1" s="1"/>
  <c r="AS6" i="1"/>
  <c r="AT6" i="1" s="1"/>
  <c r="AS265" i="1"/>
  <c r="AT265" i="1" s="1"/>
  <c r="AS99" i="1"/>
  <c r="AT99" i="1" s="1"/>
  <c r="AS112" i="1"/>
  <c r="AS226" i="1"/>
  <c r="AT226" i="1" s="1"/>
  <c r="AS3" i="1"/>
  <c r="AT3" i="1" s="1"/>
  <c r="AS128" i="1"/>
  <c r="AS7" i="1"/>
  <c r="AS44" i="1"/>
  <c r="AS123" i="1"/>
  <c r="AT123" i="1" s="1"/>
  <c r="AS227" i="1"/>
  <c r="AS264" i="1"/>
  <c r="AT264" i="1" s="1"/>
  <c r="AX57" i="1"/>
  <c r="BA68" i="1"/>
  <c r="BA69" i="1"/>
  <c r="BA71" i="1"/>
  <c r="BA75" i="1"/>
  <c r="BA76" i="1"/>
  <c r="BA77" i="1"/>
  <c r="AS92" i="1"/>
  <c r="AV427" i="1" l="1"/>
  <c r="AW427" i="1" s="1"/>
  <c r="BB427" i="1" s="1"/>
  <c r="AW434" i="1"/>
  <c r="BB434" i="1" s="1"/>
  <c r="AW426" i="1"/>
  <c r="BB426" i="1" s="1"/>
  <c r="AU427" i="1"/>
  <c r="AT435" i="1"/>
  <c r="AV437" i="1"/>
  <c r="AW437" i="1" s="1"/>
  <c r="BB437" i="1" s="1"/>
  <c r="BP431" i="1"/>
  <c r="BQ431" i="1" s="1"/>
  <c r="BR431" i="1" s="1"/>
  <c r="AV428" i="1"/>
  <c r="AW428" i="1" s="1"/>
  <c r="BB428" i="1" s="1"/>
  <c r="AU428" i="1"/>
  <c r="BP427" i="1"/>
  <c r="BQ427" i="1" s="1"/>
  <c r="BR427" i="1" s="1"/>
  <c r="AV435" i="1"/>
  <c r="AW435" i="1" s="1"/>
  <c r="BB435" i="1" s="1"/>
  <c r="AV425" i="1"/>
  <c r="AW425" i="1" s="1"/>
  <c r="BB425" i="1" s="1"/>
  <c r="BP439" i="1"/>
  <c r="BQ439" i="1" s="1"/>
  <c r="BR439" i="1" s="1"/>
  <c r="BP426" i="1"/>
  <c r="BQ426" i="1" s="1"/>
  <c r="BR426" i="1" s="1"/>
  <c r="BO438" i="1"/>
  <c r="BQ438" i="1" s="1"/>
  <c r="BR438" i="1" s="1"/>
  <c r="BO430" i="1"/>
  <c r="BQ430" i="1" s="1"/>
  <c r="BR430" i="1" s="1"/>
  <c r="AU432" i="1"/>
  <c r="AV432" i="1"/>
  <c r="AW432" i="1" s="1"/>
  <c r="BB432" i="1" s="1"/>
  <c r="AT430" i="1"/>
  <c r="BP434" i="1"/>
  <c r="BQ434" i="1" s="1"/>
  <c r="BR434" i="1" s="1"/>
  <c r="BO429" i="1"/>
  <c r="BQ429" i="1" s="1"/>
  <c r="BR429" i="1" s="1"/>
  <c r="AT438" i="1"/>
  <c r="BO437" i="1"/>
  <c r="BQ437" i="1" s="1"/>
  <c r="BR437" i="1" s="1"/>
  <c r="AV439" i="1"/>
  <c r="AW439" i="1" s="1"/>
  <c r="BB439" i="1" s="1"/>
  <c r="AT374" i="1"/>
  <c r="AV374" i="1" s="1"/>
  <c r="AW374" i="1" s="1"/>
  <c r="BB374" i="1" s="1"/>
  <c r="AT439" i="1"/>
  <c r="AU354" i="1"/>
  <c r="AT300" i="1"/>
  <c r="AV300" i="1" s="1"/>
  <c r="AW300" i="1" s="1"/>
  <c r="BB300" i="1" s="1"/>
  <c r="AT168" i="1"/>
  <c r="AV168" i="1" s="1"/>
  <c r="AW168" i="1" s="1"/>
  <c r="BB168" i="1" s="1"/>
  <c r="AV433" i="1"/>
  <c r="AW433" i="1" s="1"/>
  <c r="BB433" i="1" s="1"/>
  <c r="AU436" i="1"/>
  <c r="AU376" i="1"/>
  <c r="AV376" i="1" s="1"/>
  <c r="AW376" i="1" s="1"/>
  <c r="BB376" i="1" s="1"/>
  <c r="AT357" i="1"/>
  <c r="AV357" i="1" s="1"/>
  <c r="AW357" i="1" s="1"/>
  <c r="BB357" i="1" s="1"/>
  <c r="AU195" i="1"/>
  <c r="AV195" i="1" s="1"/>
  <c r="AW195" i="1" s="1"/>
  <c r="BB195" i="1" s="1"/>
  <c r="AT431" i="1"/>
  <c r="AV431" i="1"/>
  <c r="AW431" i="1" s="1"/>
  <c r="BB431" i="1" s="1"/>
  <c r="AT302" i="1"/>
  <c r="AV302" i="1" s="1"/>
  <c r="AW302" i="1" s="1"/>
  <c r="BB302" i="1" s="1"/>
  <c r="AV429" i="1"/>
  <c r="AW429" i="1" s="1"/>
  <c r="BB429" i="1" s="1"/>
  <c r="AU297" i="1"/>
  <c r="AV297" i="1" s="1"/>
  <c r="AW297" i="1" s="1"/>
  <c r="BB297" i="1" s="1"/>
  <c r="AU182" i="1"/>
  <c r="AV182" i="1" s="1"/>
  <c r="AW182" i="1" s="1"/>
  <c r="BB182" i="1" s="1"/>
  <c r="AU171" i="1"/>
  <c r="AV171" i="1" s="1"/>
  <c r="AW171" i="1" s="1"/>
  <c r="BB171" i="1" s="1"/>
  <c r="AT426" i="1"/>
  <c r="AU341" i="1"/>
  <c r="AV341" i="1" s="1"/>
  <c r="AW341" i="1" s="1"/>
  <c r="BB341" i="1" s="1"/>
  <c r="BP435" i="1"/>
  <c r="BQ435" i="1" s="1"/>
  <c r="BR435" i="1" s="1"/>
  <c r="AV436" i="1"/>
  <c r="AW436" i="1" s="1"/>
  <c r="BB436" i="1" s="1"/>
  <c r="AU288" i="1"/>
  <c r="AV288" i="1" s="1"/>
  <c r="AW288" i="1" s="1"/>
  <c r="BB288" i="1" s="1"/>
  <c r="AU317" i="1"/>
  <c r="AV317" i="1" s="1"/>
  <c r="AW317" i="1" s="1"/>
  <c r="BB317" i="1" s="1"/>
  <c r="AU191" i="1"/>
  <c r="AV191" i="1" s="1"/>
  <c r="AW191" i="1" s="1"/>
  <c r="BB191" i="1" s="1"/>
  <c r="AT176" i="1"/>
  <c r="AV176" i="1" s="1"/>
  <c r="AW176" i="1" s="1"/>
  <c r="BB176" i="1" s="1"/>
  <c r="AT434" i="1"/>
  <c r="AU414" i="1"/>
  <c r="AV414" i="1" s="1"/>
  <c r="AW414" i="1" s="1"/>
  <c r="BB414" i="1" s="1"/>
  <c r="AT411" i="1"/>
  <c r="AV411" i="1" s="1"/>
  <c r="AW411" i="1" s="1"/>
  <c r="BB411" i="1" s="1"/>
  <c r="AT291" i="1"/>
  <c r="AV291" i="1" s="1"/>
  <c r="AW291" i="1" s="1"/>
  <c r="BB291" i="1" s="1"/>
  <c r="AU174" i="1"/>
  <c r="AV174" i="1" s="1"/>
  <c r="AW174" i="1" s="1"/>
  <c r="BB174" i="1" s="1"/>
  <c r="BP436" i="1"/>
  <c r="BQ436" i="1" s="1"/>
  <c r="BR436" i="1" s="1"/>
  <c r="BP428" i="1"/>
  <c r="BQ428" i="1" s="1"/>
  <c r="BR428" i="1" s="1"/>
  <c r="AV438" i="1"/>
  <c r="AW438" i="1" s="1"/>
  <c r="BB438" i="1" s="1"/>
  <c r="AV430" i="1"/>
  <c r="AW430" i="1" s="1"/>
  <c r="BB430" i="1" s="1"/>
  <c r="AU437" i="1"/>
  <c r="AU429" i="1"/>
  <c r="AU417" i="1"/>
  <c r="AV417" i="1" s="1"/>
  <c r="AW417" i="1" s="1"/>
  <c r="BB417" i="1" s="1"/>
  <c r="AU385" i="1"/>
  <c r="AV385" i="1" s="1"/>
  <c r="AW385" i="1" s="1"/>
  <c r="BB385" i="1" s="1"/>
  <c r="AU382" i="1"/>
  <c r="AV382" i="1" s="1"/>
  <c r="AW382" i="1" s="1"/>
  <c r="BB382" i="1" s="1"/>
  <c r="AT319" i="1"/>
  <c r="AV319" i="1" s="1"/>
  <c r="AW319" i="1" s="1"/>
  <c r="BB319" i="1" s="1"/>
  <c r="AT304" i="1"/>
  <c r="AV304" i="1" s="1"/>
  <c r="AW304" i="1" s="1"/>
  <c r="BB304" i="1" s="1"/>
  <c r="BP433" i="1"/>
  <c r="BQ433" i="1" s="1"/>
  <c r="BR433" i="1" s="1"/>
  <c r="BP425" i="1"/>
  <c r="BQ425" i="1" s="1"/>
  <c r="BR425" i="1" s="1"/>
  <c r="BO432" i="1"/>
  <c r="BQ432" i="1" s="1"/>
  <c r="BR432" i="1" s="1"/>
  <c r="AU434" i="1"/>
  <c r="AU426" i="1"/>
  <c r="AT433" i="1"/>
  <c r="AT425" i="1"/>
  <c r="AU398" i="1"/>
  <c r="AV398" i="1" s="1"/>
  <c r="AW398" i="1" s="1"/>
  <c r="BB398" i="1" s="1"/>
  <c r="AT395" i="1"/>
  <c r="AV395" i="1" s="1"/>
  <c r="AW395" i="1" s="1"/>
  <c r="BB395" i="1" s="1"/>
  <c r="AU384" i="1"/>
  <c r="AU155" i="1"/>
  <c r="AV155" i="1" s="1"/>
  <c r="AW155" i="1" s="1"/>
  <c r="BB155" i="1" s="1"/>
  <c r="AU401" i="1"/>
  <c r="AV401" i="1" s="1"/>
  <c r="AW401" i="1" s="1"/>
  <c r="BB401" i="1" s="1"/>
  <c r="AT343" i="1"/>
  <c r="AV343" i="1" s="1"/>
  <c r="AW343" i="1" s="1"/>
  <c r="BB343" i="1" s="1"/>
  <c r="AU360" i="1"/>
  <c r="AV360" i="1" s="1"/>
  <c r="AW360" i="1" s="1"/>
  <c r="BB360" i="1" s="1"/>
  <c r="AT306" i="1"/>
  <c r="AV306" i="1" s="1"/>
  <c r="AW306" i="1" s="1"/>
  <c r="BB306" i="1" s="1"/>
  <c r="AT198" i="1"/>
  <c r="AV198" i="1" s="1"/>
  <c r="AW198" i="1" s="1"/>
  <c r="BB198" i="1" s="1"/>
  <c r="AU422" i="1"/>
  <c r="AV422" i="1" s="1"/>
  <c r="AW422" i="1" s="1"/>
  <c r="BB422" i="1" s="1"/>
  <c r="AT419" i="1"/>
  <c r="AV419" i="1" s="1"/>
  <c r="AW419" i="1" s="1"/>
  <c r="BB419" i="1" s="1"/>
  <c r="AU406" i="1"/>
  <c r="AV406" i="1" s="1"/>
  <c r="AW406" i="1" s="1"/>
  <c r="BB406" i="1" s="1"/>
  <c r="AT403" i="1"/>
  <c r="AV403" i="1" s="1"/>
  <c r="AW403" i="1" s="1"/>
  <c r="BB403" i="1" s="1"/>
  <c r="AU390" i="1"/>
  <c r="AV390" i="1" s="1"/>
  <c r="AW390" i="1" s="1"/>
  <c r="BB390" i="1" s="1"/>
  <c r="AU366" i="1"/>
  <c r="AV366" i="1" s="1"/>
  <c r="AW366" i="1" s="1"/>
  <c r="BB366" i="1" s="1"/>
  <c r="AU346" i="1"/>
  <c r="AV346" i="1" s="1"/>
  <c r="AW346" i="1" s="1"/>
  <c r="BB346" i="1" s="1"/>
  <c r="AT308" i="1"/>
  <c r="AV308" i="1" s="1"/>
  <c r="AW308" i="1" s="1"/>
  <c r="BB308" i="1" s="1"/>
  <c r="AU293" i="1"/>
  <c r="AV293" i="1" s="1"/>
  <c r="AW293" i="1" s="1"/>
  <c r="BB293" i="1" s="1"/>
  <c r="AT274" i="1"/>
  <c r="AV274" i="1" s="1"/>
  <c r="AW274" i="1" s="1"/>
  <c r="BB274" i="1" s="1"/>
  <c r="AT194" i="1"/>
  <c r="AV194" i="1" s="1"/>
  <c r="AW194" i="1" s="1"/>
  <c r="BB194" i="1" s="1"/>
  <c r="AU187" i="1"/>
  <c r="AV187" i="1" s="1"/>
  <c r="AW187" i="1" s="1"/>
  <c r="BB187" i="1" s="1"/>
  <c r="AU164" i="1"/>
  <c r="AV164" i="1" s="1"/>
  <c r="AW164" i="1" s="1"/>
  <c r="BB164" i="1" s="1"/>
  <c r="AU409" i="1"/>
  <c r="AV409" i="1" s="1"/>
  <c r="AW409" i="1" s="1"/>
  <c r="BB409" i="1" s="1"/>
  <c r="AU393" i="1"/>
  <c r="AV393" i="1" s="1"/>
  <c r="AW393" i="1" s="1"/>
  <c r="BB393" i="1" s="1"/>
  <c r="AT325" i="1"/>
  <c r="AV325" i="1" s="1"/>
  <c r="AW325" i="1" s="1"/>
  <c r="BB325" i="1" s="1"/>
  <c r="AT298" i="1"/>
  <c r="AV298" i="1" s="1"/>
  <c r="AW298" i="1" s="1"/>
  <c r="BB298" i="1" s="1"/>
  <c r="AU358" i="1"/>
  <c r="AV358" i="1" s="1"/>
  <c r="AW358" i="1" s="1"/>
  <c r="BB358" i="1" s="1"/>
  <c r="AU295" i="1"/>
  <c r="AV295" i="1" s="1"/>
  <c r="AW295" i="1" s="1"/>
  <c r="BB295" i="1" s="1"/>
  <c r="AT282" i="1"/>
  <c r="AV282" i="1" s="1"/>
  <c r="AW282" i="1" s="1"/>
  <c r="BB282" i="1" s="1"/>
  <c r="AT179" i="1"/>
  <c r="AV179" i="1" s="1"/>
  <c r="AW179" i="1" s="1"/>
  <c r="BB179" i="1" s="1"/>
  <c r="AT166" i="1"/>
  <c r="AV166" i="1" s="1"/>
  <c r="AW166" i="1" s="1"/>
  <c r="BB166" i="1" s="1"/>
  <c r="AT388" i="1"/>
  <c r="AV388" i="1" s="1"/>
  <c r="AW388" i="1" s="1"/>
  <c r="BB388" i="1" s="1"/>
  <c r="AU368" i="1"/>
  <c r="AV368" i="1" s="1"/>
  <c r="AW368" i="1" s="1"/>
  <c r="BB368" i="1" s="1"/>
  <c r="AU359" i="1"/>
  <c r="AV359" i="1" s="1"/>
  <c r="AW359" i="1" s="1"/>
  <c r="BB359" i="1" s="1"/>
  <c r="AU351" i="1"/>
  <c r="AV351" i="1" s="1"/>
  <c r="AW351" i="1" s="1"/>
  <c r="BB351" i="1" s="1"/>
  <c r="AU296" i="1"/>
  <c r="AV296" i="1" s="1"/>
  <c r="AW296" i="1" s="1"/>
  <c r="BB296" i="1" s="1"/>
  <c r="AU294" i="1"/>
  <c r="AV294" i="1" s="1"/>
  <c r="AW294" i="1" s="1"/>
  <c r="BB294" i="1" s="1"/>
  <c r="AU292" i="1"/>
  <c r="AV292" i="1" s="1"/>
  <c r="AW292" i="1" s="1"/>
  <c r="BB292" i="1" s="1"/>
  <c r="AU193" i="1"/>
  <c r="AV193" i="1" s="1"/>
  <c r="AW193" i="1" s="1"/>
  <c r="BB193" i="1" s="1"/>
  <c r="AU186" i="1"/>
  <c r="AV186" i="1" s="1"/>
  <c r="AW186" i="1" s="1"/>
  <c r="BB186" i="1" s="1"/>
  <c r="AU367" i="1"/>
  <c r="AV367" i="1" s="1"/>
  <c r="AW367" i="1" s="1"/>
  <c r="BB367" i="1" s="1"/>
  <c r="AT365" i="1"/>
  <c r="AV365" i="1" s="1"/>
  <c r="AW365" i="1" s="1"/>
  <c r="BB365" i="1" s="1"/>
  <c r="AT345" i="1"/>
  <c r="AV345" i="1" s="1"/>
  <c r="AW345" i="1" s="1"/>
  <c r="BB345" i="1" s="1"/>
  <c r="AT327" i="1"/>
  <c r="AV327" i="1" s="1"/>
  <c r="AW327" i="1" s="1"/>
  <c r="BB327" i="1" s="1"/>
  <c r="AU287" i="1"/>
  <c r="AV287" i="1" s="1"/>
  <c r="AW287" i="1" s="1"/>
  <c r="BB287" i="1" s="1"/>
  <c r="AU271" i="1"/>
  <c r="AV271" i="1" s="1"/>
  <c r="AW271" i="1" s="1"/>
  <c r="BB271" i="1" s="1"/>
  <c r="AU375" i="1"/>
  <c r="AV375" i="1" s="1"/>
  <c r="AW375" i="1" s="1"/>
  <c r="BB375" i="1" s="1"/>
  <c r="AT373" i="1"/>
  <c r="AV373" i="1" s="1"/>
  <c r="AW373" i="1" s="1"/>
  <c r="BB373" i="1" s="1"/>
  <c r="AU361" i="1"/>
  <c r="AV361" i="1" s="1"/>
  <c r="AW361" i="1" s="1"/>
  <c r="BB361" i="1" s="1"/>
  <c r="AU324" i="1"/>
  <c r="AU309" i="1"/>
  <c r="AV309" i="1" s="1"/>
  <c r="AW309" i="1" s="1"/>
  <c r="BB309" i="1" s="1"/>
  <c r="AU307" i="1"/>
  <c r="AV307" i="1" s="1"/>
  <c r="AW307" i="1" s="1"/>
  <c r="BB307" i="1" s="1"/>
  <c r="AU305" i="1"/>
  <c r="AV305" i="1" s="1"/>
  <c r="AW305" i="1" s="1"/>
  <c r="BB305" i="1" s="1"/>
  <c r="AU303" i="1"/>
  <c r="AV303" i="1" s="1"/>
  <c r="AW303" i="1" s="1"/>
  <c r="BB303" i="1" s="1"/>
  <c r="AU301" i="1"/>
  <c r="AV301" i="1" s="1"/>
  <c r="AW301" i="1" s="1"/>
  <c r="BB301" i="1" s="1"/>
  <c r="AU299" i="1"/>
  <c r="AV299" i="1" s="1"/>
  <c r="AW299" i="1" s="1"/>
  <c r="BB299" i="1" s="1"/>
  <c r="AU289" i="1"/>
  <c r="AV289" i="1" s="1"/>
  <c r="AW289" i="1" s="1"/>
  <c r="BB289" i="1" s="1"/>
  <c r="AT197" i="1"/>
  <c r="AV197" i="1" s="1"/>
  <c r="AW197" i="1" s="1"/>
  <c r="BB197" i="1" s="1"/>
  <c r="AU190" i="1"/>
  <c r="AV190" i="1" s="1"/>
  <c r="AW190" i="1" s="1"/>
  <c r="BB190" i="1" s="1"/>
  <c r="AU183" i="1"/>
  <c r="AV183" i="1" s="1"/>
  <c r="AW183" i="1" s="1"/>
  <c r="BB183" i="1" s="1"/>
  <c r="AU175" i="1"/>
  <c r="AV175" i="1" s="1"/>
  <c r="AW175" i="1" s="1"/>
  <c r="BB175" i="1" s="1"/>
  <c r="AT170" i="1"/>
  <c r="AV170" i="1" s="1"/>
  <c r="AW170" i="1" s="1"/>
  <c r="BB170" i="1" s="1"/>
  <c r="AU421" i="1"/>
  <c r="AV421" i="1" s="1"/>
  <c r="AW421" i="1" s="1"/>
  <c r="BB421" i="1" s="1"/>
  <c r="AU418" i="1"/>
  <c r="AV418" i="1" s="1"/>
  <c r="AW418" i="1" s="1"/>
  <c r="BB418" i="1" s="1"/>
  <c r="AU413" i="1"/>
  <c r="AV413" i="1" s="1"/>
  <c r="AW413" i="1" s="1"/>
  <c r="BB413" i="1" s="1"/>
  <c r="AU410" i="1"/>
  <c r="AV410" i="1" s="1"/>
  <c r="AW410" i="1" s="1"/>
  <c r="BB410" i="1" s="1"/>
  <c r="AU405" i="1"/>
  <c r="AV405" i="1" s="1"/>
  <c r="AW405" i="1" s="1"/>
  <c r="BB405" i="1" s="1"/>
  <c r="AU402" i="1"/>
  <c r="AV402" i="1" s="1"/>
  <c r="AW402" i="1" s="1"/>
  <c r="BB402" i="1" s="1"/>
  <c r="AU397" i="1"/>
  <c r="AV397" i="1" s="1"/>
  <c r="AW397" i="1" s="1"/>
  <c r="BB397" i="1" s="1"/>
  <c r="AU394" i="1"/>
  <c r="AV394" i="1" s="1"/>
  <c r="AW394" i="1" s="1"/>
  <c r="BB394" i="1" s="1"/>
  <c r="AT389" i="1"/>
  <c r="AV389" i="1" s="1"/>
  <c r="AW389" i="1" s="1"/>
  <c r="BB389" i="1" s="1"/>
  <c r="AU383" i="1"/>
  <c r="AV383" i="1" s="1"/>
  <c r="AW383" i="1" s="1"/>
  <c r="BB383" i="1" s="1"/>
  <c r="AT381" i="1"/>
  <c r="AV381" i="1" s="1"/>
  <c r="AW381" i="1" s="1"/>
  <c r="BB381" i="1" s="1"/>
  <c r="AU369" i="1"/>
  <c r="AV369" i="1" s="1"/>
  <c r="AW369" i="1" s="1"/>
  <c r="BB369" i="1" s="1"/>
  <c r="AT315" i="1"/>
  <c r="AV315" i="1" s="1"/>
  <c r="AW315" i="1" s="1"/>
  <c r="BB315" i="1" s="1"/>
  <c r="AU283" i="1"/>
  <c r="AV283" i="1" s="1"/>
  <c r="AW283" i="1" s="1"/>
  <c r="BB283" i="1" s="1"/>
  <c r="AU275" i="1"/>
  <c r="AV275" i="1" s="1"/>
  <c r="AW275" i="1" s="1"/>
  <c r="BB275" i="1" s="1"/>
  <c r="AU180" i="1"/>
  <c r="AV180" i="1" s="1"/>
  <c r="AW180" i="1" s="1"/>
  <c r="BB180" i="1" s="1"/>
  <c r="AU167" i="1"/>
  <c r="AV167" i="1" s="1"/>
  <c r="AW167" i="1" s="1"/>
  <c r="BB167" i="1" s="1"/>
  <c r="AT423" i="1"/>
  <c r="AV423" i="1" s="1"/>
  <c r="AW423" i="1" s="1"/>
  <c r="BB423" i="1" s="1"/>
  <c r="AT415" i="1"/>
  <c r="AV415" i="1" s="1"/>
  <c r="AW415" i="1" s="1"/>
  <c r="BB415" i="1" s="1"/>
  <c r="AT407" i="1"/>
  <c r="AV407" i="1" s="1"/>
  <c r="AW407" i="1" s="1"/>
  <c r="BB407" i="1" s="1"/>
  <c r="AT399" i="1"/>
  <c r="AV399" i="1" s="1"/>
  <c r="AW399" i="1" s="1"/>
  <c r="BB399" i="1" s="1"/>
  <c r="AT391" i="1"/>
  <c r="AV391" i="1" s="1"/>
  <c r="AW391" i="1" s="1"/>
  <c r="BB391" i="1" s="1"/>
  <c r="AU377" i="1"/>
  <c r="AV377" i="1" s="1"/>
  <c r="AW377" i="1" s="1"/>
  <c r="BB377" i="1" s="1"/>
  <c r="AT311" i="1"/>
  <c r="AV311" i="1" s="1"/>
  <c r="AW311" i="1" s="1"/>
  <c r="BB311" i="1" s="1"/>
  <c r="AT192" i="1"/>
  <c r="AV192" i="1" s="1"/>
  <c r="AW192" i="1" s="1"/>
  <c r="BB192" i="1" s="1"/>
  <c r="AT326" i="1"/>
  <c r="AU326" i="1"/>
  <c r="AT352" i="1"/>
  <c r="AT338" i="1"/>
  <c r="AU338" i="1"/>
  <c r="AT334" i="1"/>
  <c r="AU334" i="1"/>
  <c r="AT318" i="1"/>
  <c r="AU318" i="1"/>
  <c r="AU380" i="1"/>
  <c r="AV380" i="1" s="1"/>
  <c r="AW380" i="1" s="1"/>
  <c r="BB380" i="1" s="1"/>
  <c r="AU372" i="1"/>
  <c r="AV372" i="1" s="1"/>
  <c r="AW372" i="1" s="1"/>
  <c r="BB372" i="1" s="1"/>
  <c r="AU364" i="1"/>
  <c r="AV364" i="1" s="1"/>
  <c r="AW364" i="1" s="1"/>
  <c r="BB364" i="1" s="1"/>
  <c r="AU350" i="1"/>
  <c r="AV350" i="1" s="1"/>
  <c r="AW350" i="1" s="1"/>
  <c r="BB350" i="1" s="1"/>
  <c r="AU181" i="1"/>
  <c r="AT181" i="1"/>
  <c r="AT330" i="1"/>
  <c r="AU330" i="1"/>
  <c r="AT314" i="1"/>
  <c r="AU314" i="1"/>
  <c r="AU154" i="1"/>
  <c r="AT154" i="1"/>
  <c r="AU356" i="1"/>
  <c r="AV356" i="1" s="1"/>
  <c r="AW356" i="1" s="1"/>
  <c r="BB356" i="1" s="1"/>
  <c r="AT344" i="1"/>
  <c r="AV344" i="1" s="1"/>
  <c r="AW344" i="1" s="1"/>
  <c r="BB344" i="1" s="1"/>
  <c r="AT322" i="1"/>
  <c r="AU420" i="1"/>
  <c r="AV420" i="1" s="1"/>
  <c r="AW420" i="1" s="1"/>
  <c r="BB420" i="1" s="1"/>
  <c r="AU416" i="1"/>
  <c r="AV416" i="1" s="1"/>
  <c r="AW416" i="1" s="1"/>
  <c r="BB416" i="1" s="1"/>
  <c r="AU412" i="1"/>
  <c r="AV412" i="1" s="1"/>
  <c r="AW412" i="1" s="1"/>
  <c r="BB412" i="1" s="1"/>
  <c r="AU408" i="1"/>
  <c r="AV408" i="1" s="1"/>
  <c r="AW408" i="1" s="1"/>
  <c r="BB408" i="1" s="1"/>
  <c r="AU396" i="1"/>
  <c r="AV396" i="1" s="1"/>
  <c r="AW396" i="1" s="1"/>
  <c r="BB396" i="1" s="1"/>
  <c r="AU392" i="1"/>
  <c r="AV392" i="1" s="1"/>
  <c r="AW392" i="1" s="1"/>
  <c r="BB392" i="1" s="1"/>
  <c r="AU370" i="1"/>
  <c r="AV370" i="1" s="1"/>
  <c r="AW370" i="1" s="1"/>
  <c r="BB370" i="1" s="1"/>
  <c r="AU362" i="1"/>
  <c r="AV362" i="1" s="1"/>
  <c r="AW362" i="1" s="1"/>
  <c r="BB362" i="1" s="1"/>
  <c r="AU342" i="1"/>
  <c r="AV342" i="1" s="1"/>
  <c r="AW342" i="1" s="1"/>
  <c r="BB342" i="1" s="1"/>
  <c r="AT337" i="1"/>
  <c r="AU337" i="1"/>
  <c r="AT333" i="1"/>
  <c r="AU333" i="1"/>
  <c r="AT329" i="1"/>
  <c r="AU329" i="1"/>
  <c r="AT347" i="1"/>
  <c r="AU347" i="1"/>
  <c r="AU424" i="1"/>
  <c r="AV424" i="1" s="1"/>
  <c r="AW424" i="1" s="1"/>
  <c r="BB424" i="1" s="1"/>
  <c r="AU404" i="1"/>
  <c r="AV404" i="1" s="1"/>
  <c r="AW404" i="1" s="1"/>
  <c r="BB404" i="1" s="1"/>
  <c r="AU400" i="1"/>
  <c r="AV400" i="1" s="1"/>
  <c r="AW400" i="1" s="1"/>
  <c r="BB400" i="1" s="1"/>
  <c r="AU386" i="1"/>
  <c r="AV386" i="1" s="1"/>
  <c r="AW386" i="1" s="1"/>
  <c r="BB386" i="1" s="1"/>
  <c r="AU378" i="1"/>
  <c r="AV378" i="1" s="1"/>
  <c r="AW378" i="1" s="1"/>
  <c r="BB378" i="1" s="1"/>
  <c r="AU348" i="1"/>
  <c r="AV348" i="1" s="1"/>
  <c r="AW348" i="1" s="1"/>
  <c r="BB348" i="1" s="1"/>
  <c r="AT323" i="1"/>
  <c r="AU323" i="1"/>
  <c r="AU387" i="1"/>
  <c r="AU379" i="1"/>
  <c r="AU371" i="1"/>
  <c r="AU363" i="1"/>
  <c r="AT355" i="1"/>
  <c r="AU355" i="1"/>
  <c r="AU349" i="1"/>
  <c r="AU340" i="1"/>
  <c r="AV340" i="1" s="1"/>
  <c r="AW340" i="1" s="1"/>
  <c r="BB340" i="1" s="1"/>
  <c r="AT312" i="1"/>
  <c r="AU312" i="1"/>
  <c r="AT387" i="1"/>
  <c r="AV384" i="1"/>
  <c r="AW384" i="1" s="1"/>
  <c r="BB384" i="1" s="1"/>
  <c r="AT379" i="1"/>
  <c r="AT371" i="1"/>
  <c r="AT363" i="1"/>
  <c r="AU352" i="1"/>
  <c r="AT349" i="1"/>
  <c r="AU322" i="1"/>
  <c r="AU353" i="1"/>
  <c r="AV353" i="1" s="1"/>
  <c r="AW353" i="1" s="1"/>
  <c r="BB353" i="1" s="1"/>
  <c r="AU285" i="1"/>
  <c r="AT285" i="1"/>
  <c r="AT273" i="1"/>
  <c r="AU273" i="1"/>
  <c r="AT88" i="1"/>
  <c r="AU88" i="1"/>
  <c r="AU290" i="1"/>
  <c r="AV290" i="1" s="1"/>
  <c r="AW290" i="1" s="1"/>
  <c r="BB290" i="1" s="1"/>
  <c r="AT196" i="1"/>
  <c r="AU196" i="1"/>
  <c r="AU189" i="1"/>
  <c r="AT189" i="1"/>
  <c r="AT185" i="1"/>
  <c r="AV185" i="1" s="1"/>
  <c r="AW185" i="1" s="1"/>
  <c r="BB185" i="1" s="1"/>
  <c r="AT172" i="1"/>
  <c r="AU172" i="1"/>
  <c r="AT267" i="1"/>
  <c r="AU267" i="1"/>
  <c r="AU316" i="1"/>
  <c r="AV316" i="1" s="1"/>
  <c r="AW316" i="1" s="1"/>
  <c r="BB316" i="1" s="1"/>
  <c r="AV354" i="1"/>
  <c r="AW354" i="1" s="1"/>
  <c r="BB354" i="1" s="1"/>
  <c r="AT339" i="1"/>
  <c r="AV339" i="1" s="1"/>
  <c r="AW339" i="1" s="1"/>
  <c r="BB339" i="1" s="1"/>
  <c r="AT335" i="1"/>
  <c r="AV335" i="1" s="1"/>
  <c r="AW335" i="1" s="1"/>
  <c r="BB335" i="1" s="1"/>
  <c r="AT331" i="1"/>
  <c r="AV331" i="1" s="1"/>
  <c r="AW331" i="1" s="1"/>
  <c r="BB331" i="1" s="1"/>
  <c r="AT320" i="1"/>
  <c r="AV320" i="1" s="1"/>
  <c r="AW320" i="1" s="1"/>
  <c r="BB320" i="1" s="1"/>
  <c r="AT199" i="1"/>
  <c r="AV199" i="1" s="1"/>
  <c r="AW199" i="1" s="1"/>
  <c r="BB199" i="1" s="1"/>
  <c r="AU313" i="1"/>
  <c r="AV313" i="1" s="1"/>
  <c r="AW313" i="1" s="1"/>
  <c r="BB313" i="1" s="1"/>
  <c r="AU286" i="1"/>
  <c r="AV286" i="1" s="1"/>
  <c r="AW286" i="1" s="1"/>
  <c r="BB286" i="1" s="1"/>
  <c r="AT284" i="1"/>
  <c r="AU284" i="1"/>
  <c r="AT188" i="1"/>
  <c r="AU188" i="1"/>
  <c r="AT178" i="1"/>
  <c r="AV178" i="1" s="1"/>
  <c r="AW178" i="1" s="1"/>
  <c r="BB178" i="1" s="1"/>
  <c r="AT336" i="1"/>
  <c r="AV336" i="1" s="1"/>
  <c r="AW336" i="1" s="1"/>
  <c r="BB336" i="1" s="1"/>
  <c r="AT332" i="1"/>
  <c r="AV332" i="1" s="1"/>
  <c r="AW332" i="1" s="1"/>
  <c r="BB332" i="1" s="1"/>
  <c r="AT328" i="1"/>
  <c r="AV328" i="1" s="1"/>
  <c r="AW328" i="1" s="1"/>
  <c r="BB328" i="1" s="1"/>
  <c r="AT310" i="1"/>
  <c r="AV310" i="1" s="1"/>
  <c r="AW310" i="1" s="1"/>
  <c r="BB310" i="1" s="1"/>
  <c r="AV324" i="1"/>
  <c r="AW324" i="1" s="1"/>
  <c r="BB324" i="1" s="1"/>
  <c r="AU321" i="1"/>
  <c r="AV321" i="1" s="1"/>
  <c r="AW321" i="1" s="1"/>
  <c r="BB321" i="1" s="1"/>
  <c r="AT91" i="1"/>
  <c r="AU91" i="1"/>
  <c r="AT169" i="1"/>
  <c r="AV169" i="1" s="1"/>
  <c r="AW169" i="1" s="1"/>
  <c r="BB169" i="1" s="1"/>
  <c r="AT90" i="1"/>
  <c r="AU90" i="1"/>
  <c r="AT269" i="1"/>
  <c r="AU269" i="1"/>
  <c r="AT173" i="1"/>
  <c r="AV173" i="1" s="1"/>
  <c r="AW173" i="1" s="1"/>
  <c r="BB173" i="1" s="1"/>
  <c r="AU165" i="1"/>
  <c r="AV165" i="1" s="1"/>
  <c r="AW165" i="1" s="1"/>
  <c r="BB165" i="1" s="1"/>
  <c r="AT184" i="1"/>
  <c r="AV184" i="1" s="1"/>
  <c r="AW184" i="1" s="1"/>
  <c r="BB184" i="1" s="1"/>
  <c r="AT163" i="1"/>
  <c r="AU163" i="1"/>
  <c r="AT272" i="1"/>
  <c r="AV272" i="1" s="1"/>
  <c r="AW272" i="1" s="1"/>
  <c r="BB272" i="1" s="1"/>
  <c r="AT281" i="1"/>
  <c r="AU281" i="1"/>
  <c r="AT177" i="1"/>
  <c r="AV177" i="1" s="1"/>
  <c r="AW177" i="1" s="1"/>
  <c r="BB177" i="1" s="1"/>
  <c r="AT279" i="1"/>
  <c r="AV279" i="1" s="1"/>
  <c r="AW279" i="1" s="1"/>
  <c r="BB279" i="1" s="1"/>
  <c r="AT115" i="1"/>
  <c r="AU115" i="1"/>
  <c r="AU270" i="1"/>
  <c r="AV270" i="1" s="1"/>
  <c r="AW270" i="1" s="1"/>
  <c r="BB270" i="1" s="1"/>
  <c r="AT280" i="1"/>
  <c r="AU280" i="1"/>
  <c r="AT116" i="1"/>
  <c r="AU116" i="1"/>
  <c r="AT278" i="1"/>
  <c r="AU278" i="1"/>
  <c r="AT89" i="1"/>
  <c r="AU89" i="1"/>
  <c r="AU145" i="1"/>
  <c r="AU264" i="1"/>
  <c r="AV264" i="1" s="1"/>
  <c r="AW264" i="1" s="1"/>
  <c r="BB264" i="1" s="1"/>
  <c r="AT112" i="1"/>
  <c r="AU112" i="1"/>
  <c r="AT119" i="1"/>
  <c r="AU119" i="1"/>
  <c r="AU241" i="1"/>
  <c r="AV241" i="1" s="1"/>
  <c r="AW241" i="1" s="1"/>
  <c r="BB241" i="1" s="1"/>
  <c r="AT244" i="1"/>
  <c r="AU244" i="1"/>
  <c r="AT28" i="1"/>
  <c r="AU28" i="1"/>
  <c r="AT261" i="1"/>
  <c r="AU261" i="1"/>
  <c r="AV261" i="1"/>
  <c r="AW261" i="1" s="1"/>
  <c r="BB261" i="1" s="1"/>
  <c r="AU22" i="1"/>
  <c r="AV22" i="1" s="1"/>
  <c r="AW22" i="1" s="1"/>
  <c r="BB22" i="1" s="1"/>
  <c r="AT92" i="1"/>
  <c r="AU92" i="1"/>
  <c r="AU227" i="1"/>
  <c r="AT4" i="1"/>
  <c r="AU4" i="1"/>
  <c r="AU243" i="1"/>
  <c r="AU260" i="1"/>
  <c r="AV260" i="1" s="1"/>
  <c r="AW260" i="1" s="1"/>
  <c r="AU99" i="1"/>
  <c r="AV99" i="1" s="1"/>
  <c r="AW99" i="1" s="1"/>
  <c r="BB99" i="1" s="1"/>
  <c r="AU235" i="1"/>
  <c r="AV235" i="1" s="1"/>
  <c r="AW235" i="1" s="1"/>
  <c r="BB235" i="1" s="1"/>
  <c r="AT277" i="1"/>
  <c r="AU277" i="1"/>
  <c r="AV277" i="1"/>
  <c r="AW277" i="1" s="1"/>
  <c r="BB277" i="1" s="1"/>
  <c r="AU21" i="1"/>
  <c r="AV21" i="1" s="1"/>
  <c r="AW21" i="1" s="1"/>
  <c r="BB21" i="1" s="1"/>
  <c r="AT227" i="1"/>
  <c r="AU123" i="1"/>
  <c r="AV123" i="1"/>
  <c r="AW123" i="1" s="1"/>
  <c r="BB123" i="1" s="1"/>
  <c r="AU265" i="1"/>
  <c r="AV265" i="1" s="1"/>
  <c r="AW265" i="1" s="1"/>
  <c r="BB265" i="1" s="1"/>
  <c r="AU124" i="1"/>
  <c r="AV124" i="1" s="1"/>
  <c r="AW124" i="1" s="1"/>
  <c r="BB124" i="1" s="1"/>
  <c r="AU234" i="1"/>
  <c r="AV234" i="1" s="1"/>
  <c r="AW234" i="1" s="1"/>
  <c r="BB234" i="1" s="1"/>
  <c r="AU242" i="1"/>
  <c r="AV242" i="1" s="1"/>
  <c r="AW242" i="1" s="1"/>
  <c r="BB242" i="1" s="1"/>
  <c r="AU276" i="1"/>
  <c r="AV276" i="1"/>
  <c r="AW276" i="1" s="1"/>
  <c r="BB276" i="1" s="1"/>
  <c r="AU259" i="1"/>
  <c r="AV259" i="1" s="1"/>
  <c r="AW259" i="1" s="1"/>
  <c r="AU27" i="1"/>
  <c r="AV27" i="1" s="1"/>
  <c r="AW27" i="1" s="1"/>
  <c r="BB27" i="1" s="1"/>
  <c r="AU159" i="1"/>
  <c r="AV159" i="1" s="1"/>
  <c r="AW159" i="1" s="1"/>
  <c r="BB159" i="1" s="1"/>
  <c r="AT44" i="1"/>
  <c r="AU44" i="1"/>
  <c r="AU6" i="1"/>
  <c r="AV6" i="1" s="1"/>
  <c r="AW6" i="1" s="1"/>
  <c r="BB6" i="1" s="1"/>
  <c r="AU109" i="1"/>
  <c r="AV109" i="1" s="1"/>
  <c r="AW109" i="1" s="1"/>
  <c r="BB109" i="1" s="1"/>
  <c r="AU233" i="1"/>
  <c r="AV233" i="1" s="1"/>
  <c r="AW233" i="1" s="1"/>
  <c r="BB233" i="1" s="1"/>
  <c r="AT240" i="1"/>
  <c r="AU240" i="1"/>
  <c r="AU258" i="1"/>
  <c r="AV258" i="1" s="1"/>
  <c r="AW258" i="1" s="1"/>
  <c r="AT26" i="1"/>
  <c r="AU26" i="1"/>
  <c r="AT7" i="1"/>
  <c r="AU7" i="1"/>
  <c r="AU5" i="1"/>
  <c r="AV5" i="1" s="1"/>
  <c r="AW5" i="1" s="1"/>
  <c r="BB5" i="1" s="1"/>
  <c r="AU108" i="1"/>
  <c r="AV108" i="1" s="1"/>
  <c r="AW108" i="1" s="1"/>
  <c r="BB108" i="1" s="1"/>
  <c r="AU232" i="1"/>
  <c r="AV232" i="1" s="1"/>
  <c r="AW232" i="1" s="1"/>
  <c r="BB232" i="1" s="1"/>
  <c r="AU239" i="1"/>
  <c r="AV239" i="1" s="1"/>
  <c r="AW239" i="1" s="1"/>
  <c r="BB239" i="1" s="1"/>
  <c r="AT247" i="1"/>
  <c r="AU247" i="1"/>
  <c r="AU257" i="1"/>
  <c r="AV257" i="1" s="1"/>
  <c r="AW257" i="1" s="1"/>
  <c r="AT128" i="1"/>
  <c r="AU128" i="1"/>
  <c r="AU231" i="1"/>
  <c r="AV231" i="1" s="1"/>
  <c r="AW231" i="1" s="1"/>
  <c r="BB231" i="1" s="1"/>
  <c r="AT122" i="1"/>
  <c r="AU122" i="1"/>
  <c r="AT130" i="1"/>
  <c r="AU130" i="1"/>
  <c r="AU238" i="1"/>
  <c r="AV238" i="1" s="1"/>
  <c r="AW238" i="1" s="1"/>
  <c r="BB238" i="1" s="1"/>
  <c r="AU246" i="1"/>
  <c r="AU25" i="1"/>
  <c r="AT246" i="1"/>
  <c r="AU3" i="1"/>
  <c r="AV3" i="1" s="1"/>
  <c r="AW3" i="1" s="1"/>
  <c r="BB3" i="1" s="1"/>
  <c r="AT121" i="1"/>
  <c r="AU121" i="1"/>
  <c r="AU110" i="1"/>
  <c r="AV110" i="1" s="1"/>
  <c r="AW110" i="1" s="1"/>
  <c r="BB110" i="1" s="1"/>
  <c r="AU129" i="1"/>
  <c r="AV129" i="1" s="1"/>
  <c r="AW129" i="1" s="1"/>
  <c r="BB129" i="1" s="1"/>
  <c r="AU237" i="1"/>
  <c r="AV237" i="1" s="1"/>
  <c r="AW237" i="1" s="1"/>
  <c r="BB237" i="1" s="1"/>
  <c r="AU263" i="1"/>
  <c r="AV263" i="1" s="1"/>
  <c r="AW263" i="1" s="1"/>
  <c r="AT24" i="1"/>
  <c r="AU24" i="1"/>
  <c r="AT243" i="1"/>
  <c r="AT25" i="1"/>
  <c r="AU226" i="1"/>
  <c r="AV226" i="1" s="1"/>
  <c r="AW226" i="1" s="1"/>
  <c r="BB226" i="1" s="1"/>
  <c r="AU120" i="1"/>
  <c r="AV120" i="1" s="1"/>
  <c r="AW120" i="1" s="1"/>
  <c r="BB120" i="1" s="1"/>
  <c r="AU245" i="1"/>
  <c r="AV245" i="1" s="1"/>
  <c r="AW245" i="1" s="1"/>
  <c r="BB245" i="1" s="1"/>
  <c r="AU111" i="1"/>
  <c r="AV111" i="1" s="1"/>
  <c r="AW111" i="1" s="1"/>
  <c r="BB111" i="1" s="1"/>
  <c r="AU236" i="1"/>
  <c r="AV236" i="1" s="1"/>
  <c r="AW236" i="1" s="1"/>
  <c r="BB236" i="1" s="1"/>
  <c r="AU262" i="1"/>
  <c r="AV262" i="1" s="1"/>
  <c r="AW262" i="1" s="1"/>
  <c r="AU23" i="1"/>
  <c r="AV23" i="1" s="1"/>
  <c r="AW23" i="1" s="1"/>
  <c r="BB23" i="1" s="1"/>
  <c r="AV314" i="1" l="1"/>
  <c r="AW314" i="1" s="1"/>
  <c r="BB314" i="1" s="1"/>
  <c r="AV281" i="1"/>
  <c r="AW281" i="1" s="1"/>
  <c r="BB281" i="1" s="1"/>
  <c r="AV329" i="1"/>
  <c r="AW329" i="1" s="1"/>
  <c r="BB329" i="1" s="1"/>
  <c r="AV349" i="1"/>
  <c r="AW349" i="1" s="1"/>
  <c r="BB349" i="1" s="1"/>
  <c r="AV92" i="1"/>
  <c r="AW92" i="1" s="1"/>
  <c r="BB92" i="1" s="1"/>
  <c r="AV28" i="1"/>
  <c r="AW28" i="1" s="1"/>
  <c r="BB28" i="1" s="1"/>
  <c r="AV24" i="1"/>
  <c r="AW24" i="1" s="1"/>
  <c r="BB24" i="1" s="1"/>
  <c r="AV91" i="1"/>
  <c r="AW91" i="1" s="1"/>
  <c r="BB91" i="1" s="1"/>
  <c r="AV267" i="1"/>
  <c r="AW267" i="1" s="1"/>
  <c r="BB267" i="1" s="1"/>
  <c r="AV128" i="1"/>
  <c r="AW128" i="1" s="1"/>
  <c r="BB128" i="1" s="1"/>
  <c r="AV371" i="1"/>
  <c r="AW371" i="1" s="1"/>
  <c r="BB371" i="1" s="1"/>
  <c r="AV355" i="1"/>
  <c r="AW355" i="1" s="1"/>
  <c r="BB355" i="1" s="1"/>
  <c r="AV323" i="1"/>
  <c r="AW323" i="1" s="1"/>
  <c r="BB323" i="1" s="1"/>
  <c r="AV318" i="1"/>
  <c r="AW318" i="1" s="1"/>
  <c r="BB318" i="1" s="1"/>
  <c r="AV326" i="1"/>
  <c r="AW326" i="1" s="1"/>
  <c r="BB326" i="1" s="1"/>
  <c r="AV122" i="1"/>
  <c r="AW122" i="1" s="1"/>
  <c r="BB122" i="1" s="1"/>
  <c r="AV244" i="1"/>
  <c r="AW244" i="1" s="1"/>
  <c r="BB244" i="1" s="1"/>
  <c r="AV4" i="1"/>
  <c r="AW4" i="1" s="1"/>
  <c r="BB4" i="1" s="1"/>
  <c r="AV119" i="1"/>
  <c r="AW119" i="1" s="1"/>
  <c r="BB119" i="1" s="1"/>
  <c r="AV121" i="1"/>
  <c r="AW121" i="1" s="1"/>
  <c r="BB121" i="1" s="1"/>
  <c r="AV7" i="1"/>
  <c r="AW7" i="1" s="1"/>
  <c r="BB7" i="1" s="1"/>
  <c r="AV247" i="1"/>
  <c r="AW247" i="1" s="1"/>
  <c r="BB247" i="1" s="1"/>
  <c r="AV240" i="1"/>
  <c r="AW240" i="1" s="1"/>
  <c r="BB240" i="1" s="1"/>
  <c r="AV284" i="1"/>
  <c r="AW284" i="1" s="1"/>
  <c r="BB284" i="1" s="1"/>
  <c r="AV334" i="1"/>
  <c r="AW334" i="1" s="1"/>
  <c r="BB334" i="1" s="1"/>
  <c r="AV246" i="1"/>
  <c r="AW246" i="1" s="1"/>
  <c r="BB246" i="1" s="1"/>
  <c r="AV347" i="1"/>
  <c r="AW347" i="1" s="1"/>
  <c r="BB347" i="1" s="1"/>
  <c r="AV188" i="1"/>
  <c r="AW188" i="1" s="1"/>
  <c r="BB188" i="1" s="1"/>
  <c r="AV273" i="1"/>
  <c r="AW273" i="1" s="1"/>
  <c r="BB273" i="1" s="1"/>
  <c r="AV181" i="1"/>
  <c r="AW181" i="1" s="1"/>
  <c r="BB181" i="1" s="1"/>
  <c r="AV25" i="1"/>
  <c r="AW25" i="1" s="1"/>
  <c r="BB25" i="1" s="1"/>
  <c r="AV130" i="1"/>
  <c r="AW130" i="1" s="1"/>
  <c r="BB130" i="1" s="1"/>
  <c r="AV26" i="1"/>
  <c r="AW26" i="1" s="1"/>
  <c r="BB26" i="1" s="1"/>
  <c r="AV112" i="1"/>
  <c r="AW112" i="1" s="1"/>
  <c r="BB112" i="1" s="1"/>
  <c r="AV285" i="1"/>
  <c r="AW285" i="1" s="1"/>
  <c r="BB285" i="1" s="1"/>
  <c r="AV337" i="1"/>
  <c r="AW337" i="1" s="1"/>
  <c r="BB337" i="1" s="1"/>
  <c r="AV154" i="1"/>
  <c r="AW154" i="1" s="1"/>
  <c r="BB154" i="1" s="1"/>
  <c r="AV352" i="1"/>
  <c r="AW352" i="1" s="1"/>
  <c r="BB352" i="1" s="1"/>
  <c r="AV387" i="1"/>
  <c r="AW387" i="1" s="1"/>
  <c r="BB387" i="1" s="1"/>
  <c r="AV243" i="1"/>
  <c r="AW243" i="1" s="1"/>
  <c r="BB243" i="1" s="1"/>
  <c r="AV227" i="1"/>
  <c r="AW227" i="1" s="1"/>
  <c r="BB227" i="1" s="1"/>
  <c r="AV116" i="1"/>
  <c r="AW116" i="1" s="1"/>
  <c r="BB116" i="1" s="1"/>
  <c r="AV363" i="1"/>
  <c r="AW363" i="1" s="1"/>
  <c r="BB363" i="1" s="1"/>
  <c r="AV89" i="1"/>
  <c r="AW89" i="1" s="1"/>
  <c r="BB89" i="1" s="1"/>
  <c r="AV88" i="1"/>
  <c r="AW88" i="1" s="1"/>
  <c r="BB88" i="1" s="1"/>
  <c r="AV44" i="1"/>
  <c r="AW44" i="1" s="1"/>
  <c r="BB44" i="1" s="1"/>
  <c r="AV312" i="1"/>
  <c r="AW312" i="1" s="1"/>
  <c r="BB312" i="1" s="1"/>
  <c r="AV333" i="1"/>
  <c r="AW333" i="1" s="1"/>
  <c r="BB333" i="1" s="1"/>
  <c r="AV379" i="1"/>
  <c r="AW379" i="1" s="1"/>
  <c r="BB379" i="1" s="1"/>
  <c r="AV322" i="1"/>
  <c r="AW322" i="1" s="1"/>
  <c r="BB322" i="1" s="1"/>
  <c r="AV330" i="1"/>
  <c r="AW330" i="1" s="1"/>
  <c r="BB330" i="1" s="1"/>
  <c r="AV338" i="1"/>
  <c r="AW338" i="1" s="1"/>
  <c r="BB338" i="1" s="1"/>
  <c r="AV269" i="1"/>
  <c r="AW269" i="1" s="1"/>
  <c r="BB269" i="1" s="1"/>
  <c r="AW278" i="1"/>
  <c r="BB278" i="1" s="1"/>
  <c r="AV90" i="1"/>
  <c r="AW90" i="1" s="1"/>
  <c r="BB90" i="1" s="1"/>
  <c r="AV196" i="1"/>
  <c r="AW196" i="1" s="1"/>
  <c r="BB196" i="1" s="1"/>
  <c r="AV145" i="1"/>
  <c r="AW145" i="1" s="1"/>
  <c r="BB145" i="1" s="1"/>
  <c r="AV172" i="1"/>
  <c r="AW172" i="1" s="1"/>
  <c r="BB172" i="1" s="1"/>
  <c r="AV115" i="1"/>
  <c r="AW115" i="1" s="1"/>
  <c r="BB115" i="1" s="1"/>
  <c r="AV280" i="1"/>
  <c r="AW280" i="1" s="1"/>
  <c r="BB280" i="1" s="1"/>
  <c r="AV163" i="1"/>
  <c r="AW163" i="1" s="1"/>
  <c r="BB163" i="1" s="1"/>
  <c r="AV189" i="1"/>
  <c r="AW189" i="1" s="1"/>
  <c r="BB189" i="1" s="1"/>
  <c r="BM26" i="1" l="1"/>
  <c r="BN26" i="1"/>
  <c r="BO26" i="1" s="1"/>
  <c r="BM27" i="1"/>
  <c r="BN27" i="1"/>
  <c r="BP27" i="1" s="1"/>
  <c r="BM21" i="1"/>
  <c r="BN21" i="1"/>
  <c r="BO21" i="1" s="1"/>
  <c r="BM22" i="1"/>
  <c r="BN22" i="1"/>
  <c r="BO22" i="1" s="1"/>
  <c r="BM23" i="1"/>
  <c r="BN23" i="1"/>
  <c r="BO23" i="1" s="1"/>
  <c r="BM24" i="1"/>
  <c r="BN24" i="1"/>
  <c r="BO24" i="1" s="1"/>
  <c r="BM25" i="1"/>
  <c r="BN25" i="1"/>
  <c r="BP25" i="1" s="1"/>
  <c r="BM257" i="1"/>
  <c r="BN257" i="1"/>
  <c r="BM258" i="1"/>
  <c r="BN258" i="1"/>
  <c r="BP258" i="1" s="1"/>
  <c r="BM259" i="1"/>
  <c r="BN259" i="1"/>
  <c r="BP259" i="1" s="1"/>
  <c r="BM260" i="1"/>
  <c r="BN260" i="1"/>
  <c r="BP260" i="1" s="1"/>
  <c r="BM261" i="1"/>
  <c r="BN261" i="1"/>
  <c r="BO261" i="1" s="1"/>
  <c r="BM262" i="1"/>
  <c r="BN262" i="1"/>
  <c r="BP262" i="1" s="1"/>
  <c r="BM263" i="1"/>
  <c r="BN263" i="1"/>
  <c r="BP263" i="1" s="1"/>
  <c r="BM246" i="1"/>
  <c r="BN246" i="1"/>
  <c r="BP246" i="1" s="1"/>
  <c r="BM247" i="1"/>
  <c r="BN247" i="1"/>
  <c r="BM276" i="1"/>
  <c r="BN276" i="1"/>
  <c r="BP276" i="1" s="1"/>
  <c r="BM277" i="1"/>
  <c r="BN277" i="1"/>
  <c r="BM28" i="1"/>
  <c r="BN28" i="1"/>
  <c r="BP28" i="1" s="1"/>
  <c r="BM236" i="1"/>
  <c r="BN236" i="1"/>
  <c r="BP236" i="1" s="1"/>
  <c r="BM237" i="1"/>
  <c r="BN237" i="1"/>
  <c r="BP237" i="1" s="1"/>
  <c r="BM238" i="1"/>
  <c r="BN238" i="1"/>
  <c r="BO238" i="1" s="1"/>
  <c r="BM239" i="1"/>
  <c r="BN239" i="1"/>
  <c r="BO239" i="1" s="1"/>
  <c r="BM240" i="1"/>
  <c r="BN240" i="1"/>
  <c r="BP240" i="1" s="1"/>
  <c r="BM242" i="1"/>
  <c r="BN242" i="1"/>
  <c r="BO242" i="1" s="1"/>
  <c r="BM243" i="1"/>
  <c r="BN243" i="1"/>
  <c r="BP243" i="1" s="1"/>
  <c r="BM244" i="1"/>
  <c r="BN244" i="1"/>
  <c r="BP244" i="1" s="1"/>
  <c r="BM111" i="1"/>
  <c r="BN111" i="1"/>
  <c r="BO111" i="1" s="1"/>
  <c r="BM129" i="1"/>
  <c r="BN129" i="1"/>
  <c r="BO129" i="1" s="1"/>
  <c r="BM130" i="1"/>
  <c r="BN130" i="1"/>
  <c r="BP130" i="1" s="1"/>
  <c r="BM232" i="1"/>
  <c r="BN232" i="1"/>
  <c r="BM233" i="1"/>
  <c r="BN233" i="1"/>
  <c r="BP233" i="1" s="1"/>
  <c r="BM234" i="1"/>
  <c r="BN234" i="1"/>
  <c r="BP234" i="1" s="1"/>
  <c r="BM235" i="1"/>
  <c r="BN235" i="1"/>
  <c r="BO235" i="1" s="1"/>
  <c r="BM241" i="1"/>
  <c r="BN241" i="1"/>
  <c r="BO241" i="1" s="1"/>
  <c r="BM245" i="1"/>
  <c r="BN245" i="1"/>
  <c r="BM110" i="1"/>
  <c r="BN110" i="1"/>
  <c r="BP110" i="1" s="1"/>
  <c r="BM122" i="1"/>
  <c r="BN122" i="1"/>
  <c r="BP122" i="1" s="1"/>
  <c r="BM108" i="1"/>
  <c r="BN108" i="1"/>
  <c r="BP108" i="1" s="1"/>
  <c r="BM109" i="1"/>
  <c r="BN109" i="1"/>
  <c r="BO109" i="1" s="1"/>
  <c r="BM124" i="1"/>
  <c r="BN124" i="1"/>
  <c r="BP124" i="1" s="1"/>
  <c r="BM4" i="1"/>
  <c r="BN4" i="1"/>
  <c r="BP4" i="1" s="1"/>
  <c r="BM119" i="1"/>
  <c r="BN119" i="1"/>
  <c r="BO119" i="1" s="1"/>
  <c r="BM120" i="1"/>
  <c r="BN120" i="1"/>
  <c r="BP120" i="1" s="1"/>
  <c r="BM121" i="1"/>
  <c r="BN121" i="1"/>
  <c r="BO121" i="1" s="1"/>
  <c r="BM231" i="1"/>
  <c r="BN231" i="1"/>
  <c r="BO231" i="1" s="1"/>
  <c r="BM5" i="1"/>
  <c r="BN5" i="1"/>
  <c r="BP5" i="1" s="1"/>
  <c r="BM6" i="1"/>
  <c r="BN6" i="1"/>
  <c r="BM265" i="1"/>
  <c r="BN265" i="1"/>
  <c r="BM99" i="1"/>
  <c r="BN99" i="1"/>
  <c r="BP99" i="1" s="1"/>
  <c r="BM112" i="1"/>
  <c r="BN112" i="1"/>
  <c r="BO112" i="1" s="1"/>
  <c r="BM226" i="1"/>
  <c r="BN226" i="1"/>
  <c r="BO226" i="1" s="1"/>
  <c r="BM3" i="1"/>
  <c r="BN3" i="1"/>
  <c r="BP3" i="1" s="1"/>
  <c r="BM128" i="1"/>
  <c r="BN128" i="1"/>
  <c r="BP128" i="1" s="1"/>
  <c r="BM7" i="1"/>
  <c r="BN7" i="1"/>
  <c r="BP7" i="1" s="1"/>
  <c r="BM44" i="1"/>
  <c r="BN44" i="1"/>
  <c r="BO44" i="1" s="1"/>
  <c r="BM123" i="1"/>
  <c r="BN123" i="1"/>
  <c r="BP123" i="1" s="1"/>
  <c r="BM227" i="1"/>
  <c r="BN227" i="1"/>
  <c r="BP227" i="1" s="1"/>
  <c r="AS68" i="1"/>
  <c r="AS69" i="1"/>
  <c r="AS70" i="1"/>
  <c r="AS71" i="1"/>
  <c r="AS72" i="1"/>
  <c r="AS73" i="1"/>
  <c r="AS74" i="1"/>
  <c r="AS75" i="1"/>
  <c r="AS76" i="1"/>
  <c r="AS77" i="1"/>
  <c r="AS82" i="1"/>
  <c r="AS83" i="1"/>
  <c r="AS84" i="1"/>
  <c r="AS81" i="1"/>
  <c r="AS85" i="1"/>
  <c r="AS86" i="1"/>
  <c r="AS93" i="1"/>
  <c r="AS94" i="1"/>
  <c r="AS95" i="1"/>
  <c r="AS96" i="1"/>
  <c r="AS97" i="1"/>
  <c r="AS98" i="1"/>
  <c r="AS103" i="1"/>
  <c r="AS104" i="1"/>
  <c r="AS105" i="1"/>
  <c r="AS106" i="1"/>
  <c r="AS107" i="1"/>
  <c r="AS117" i="1"/>
  <c r="AS118" i="1"/>
  <c r="AS125" i="1"/>
  <c r="AS126" i="1"/>
  <c r="AS127" i="1"/>
  <c r="AS135" i="1"/>
  <c r="AS136" i="1"/>
  <c r="AS137" i="1"/>
  <c r="AS138" i="1"/>
  <c r="AS139" i="1"/>
  <c r="AS140" i="1"/>
  <c r="AS133" i="1"/>
  <c r="AS141" i="1"/>
  <c r="AS142" i="1"/>
  <c r="AS143" i="1"/>
  <c r="AS144" i="1"/>
  <c r="AS146" i="1"/>
  <c r="AS147" i="1"/>
  <c r="AS148" i="1"/>
  <c r="AS149" i="1"/>
  <c r="AS150" i="1"/>
  <c r="AS151" i="1"/>
  <c r="AS152" i="1"/>
  <c r="AS153" i="1"/>
  <c r="AS156" i="1"/>
  <c r="AS157"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8" i="1"/>
  <c r="AS229" i="1"/>
  <c r="AS230" i="1"/>
  <c r="AS248" i="1"/>
  <c r="AS249" i="1"/>
  <c r="AS250" i="1"/>
  <c r="AS251" i="1"/>
  <c r="AS268" i="1"/>
  <c r="AS252" i="1"/>
  <c r="AS253" i="1"/>
  <c r="AS254" i="1"/>
  <c r="AS255" i="1"/>
  <c r="AS256" i="1"/>
  <c r="AS78" i="1"/>
  <c r="AS80" i="1"/>
  <c r="AS79" i="1"/>
  <c r="AS45" i="1"/>
  <c r="AS46" i="1"/>
  <c r="AS47" i="1"/>
  <c r="AS48" i="1"/>
  <c r="AS49" i="1"/>
  <c r="AS50" i="1"/>
  <c r="AS51" i="1"/>
  <c r="AS52" i="1"/>
  <c r="AS53" i="1"/>
  <c r="AS54" i="1"/>
  <c r="AS55" i="1"/>
  <c r="AS56" i="1"/>
  <c r="AS57" i="1"/>
  <c r="AS58" i="1"/>
  <c r="AS59" i="1"/>
  <c r="AS60" i="1"/>
  <c r="AS61" i="1"/>
  <c r="AS62" i="1"/>
  <c r="AS63" i="1"/>
  <c r="AS64" i="1"/>
  <c r="AS65" i="1"/>
  <c r="AS66" i="1"/>
  <c r="AS113" i="1"/>
  <c r="AS114" i="1"/>
  <c r="AS100" i="1"/>
  <c r="AS101" i="1"/>
  <c r="AS102" i="1"/>
  <c r="AS8" i="1"/>
  <c r="AS9" i="1"/>
  <c r="AS10" i="1"/>
  <c r="AS11" i="1"/>
  <c r="AS12" i="1"/>
  <c r="AS13" i="1"/>
  <c r="AS14" i="1"/>
  <c r="AS15" i="1"/>
  <c r="AS16" i="1"/>
  <c r="AS17" i="1"/>
  <c r="AS18" i="1"/>
  <c r="AS19" i="1"/>
  <c r="AS20" i="1"/>
  <c r="AS131" i="1"/>
  <c r="AS161" i="1"/>
  <c r="AS162" i="1"/>
  <c r="AS266" i="1"/>
  <c r="AS160" i="1"/>
  <c r="AS158" i="1"/>
  <c r="AS29" i="1"/>
  <c r="Y32" i="1"/>
  <c r="Y31" i="1"/>
  <c r="Y30" i="1"/>
  <c r="BN30" i="1" s="1"/>
  <c r="BP30" i="1" s="1"/>
  <c r="AX29" i="1"/>
  <c r="V67" i="1"/>
  <c r="V68" i="1"/>
  <c r="V69" i="1"/>
  <c r="V70" i="1"/>
  <c r="V71" i="1"/>
  <c r="V72" i="1"/>
  <c r="V73" i="1"/>
  <c r="V74" i="1"/>
  <c r="V75" i="1"/>
  <c r="V76" i="1"/>
  <c r="V77" i="1"/>
  <c r="V82" i="1"/>
  <c r="V83" i="1"/>
  <c r="V84" i="1"/>
  <c r="V81" i="1"/>
  <c r="V85" i="1"/>
  <c r="V86" i="1"/>
  <c r="V92" i="1"/>
  <c r="V93" i="1"/>
  <c r="V94" i="1"/>
  <c r="V95" i="1"/>
  <c r="V96" i="1"/>
  <c r="V97" i="1"/>
  <c r="V98" i="1"/>
  <c r="V103" i="1"/>
  <c r="V104" i="1"/>
  <c r="V105" i="1"/>
  <c r="V106" i="1"/>
  <c r="V107" i="1"/>
  <c r="V117" i="1"/>
  <c r="V118" i="1"/>
  <c r="V125" i="1"/>
  <c r="V126" i="1"/>
  <c r="V127" i="1"/>
  <c r="V134" i="1"/>
  <c r="V135" i="1"/>
  <c r="V136" i="1"/>
  <c r="V137" i="1"/>
  <c r="V138" i="1"/>
  <c r="V139" i="1"/>
  <c r="V140" i="1"/>
  <c r="V132" i="1"/>
  <c r="V133" i="1"/>
  <c r="V141" i="1"/>
  <c r="V142" i="1"/>
  <c r="V143" i="1"/>
  <c r="V144" i="1"/>
  <c r="V146" i="1"/>
  <c r="V147" i="1"/>
  <c r="V148" i="1"/>
  <c r="V149" i="1"/>
  <c r="V150" i="1"/>
  <c r="V151" i="1"/>
  <c r="V152" i="1"/>
  <c r="V153" i="1"/>
  <c r="V156" i="1"/>
  <c r="V157"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8" i="1"/>
  <c r="V229" i="1"/>
  <c r="V230" i="1"/>
  <c r="V248" i="1"/>
  <c r="V249" i="1"/>
  <c r="V250" i="1"/>
  <c r="V251" i="1"/>
  <c r="V268" i="1"/>
  <c r="V252" i="1"/>
  <c r="V253" i="1"/>
  <c r="V254" i="1"/>
  <c r="V255" i="1"/>
  <c r="V256" i="1"/>
  <c r="V78" i="1"/>
  <c r="V80" i="1"/>
  <c r="V79" i="1"/>
  <c r="V45" i="1"/>
  <c r="V46" i="1"/>
  <c r="V47" i="1"/>
  <c r="V48" i="1"/>
  <c r="V49" i="1"/>
  <c r="V50" i="1"/>
  <c r="V51" i="1"/>
  <c r="V52" i="1"/>
  <c r="V53" i="1"/>
  <c r="V54" i="1"/>
  <c r="V55" i="1"/>
  <c r="V56" i="1"/>
  <c r="V57" i="1"/>
  <c r="V58" i="1"/>
  <c r="V59" i="1"/>
  <c r="V60" i="1"/>
  <c r="V61" i="1"/>
  <c r="V62" i="1"/>
  <c r="V63" i="1"/>
  <c r="V64" i="1"/>
  <c r="V65" i="1"/>
  <c r="V66" i="1"/>
  <c r="V113" i="1"/>
  <c r="V114" i="1"/>
  <c r="V100" i="1"/>
  <c r="V101" i="1"/>
  <c r="V102" i="1"/>
  <c r="V8" i="1"/>
  <c r="V9" i="1"/>
  <c r="V10" i="1"/>
  <c r="V11" i="1"/>
  <c r="V12" i="1"/>
  <c r="V13" i="1"/>
  <c r="V14" i="1"/>
  <c r="V15" i="1"/>
  <c r="V16" i="1"/>
  <c r="V17" i="1"/>
  <c r="V18" i="1"/>
  <c r="V19" i="1"/>
  <c r="V20" i="1"/>
  <c r="V131" i="1"/>
  <c r="V161" i="1"/>
  <c r="V162" i="1"/>
  <c r="V266" i="1"/>
  <c r="V160" i="1"/>
  <c r="V158" i="1"/>
  <c r="V159" i="1"/>
  <c r="V29" i="1"/>
  <c r="C45" i="8"/>
  <c r="V274" i="1"/>
  <c r="V282" i="1"/>
  <c r="V283" i="1"/>
  <c r="U284" i="1"/>
  <c r="V284" i="1" s="1"/>
  <c r="U285" i="1"/>
  <c r="V285" i="1" s="1"/>
  <c r="U286" i="1"/>
  <c r="V286" i="1" s="1"/>
  <c r="U287" i="1"/>
  <c r="V287" i="1" s="1"/>
  <c r="U288" i="1"/>
  <c r="V288" i="1" s="1"/>
  <c r="U289" i="1"/>
  <c r="V289" i="1" s="1"/>
  <c r="U290" i="1"/>
  <c r="V290" i="1" s="1"/>
  <c r="U291" i="1"/>
  <c r="V291" i="1" s="1"/>
  <c r="U292" i="1"/>
  <c r="V292" i="1" s="1"/>
  <c r="U293" i="1"/>
  <c r="V293" i="1" s="1"/>
  <c r="U294" i="1"/>
  <c r="V294" i="1" s="1"/>
  <c r="U295" i="1"/>
  <c r="V295" i="1" s="1"/>
  <c r="U296" i="1"/>
  <c r="V296" i="1" s="1"/>
  <c r="U297" i="1"/>
  <c r="V297" i="1" s="1"/>
  <c r="U298" i="1"/>
  <c r="V298" i="1" s="1"/>
  <c r="U299" i="1"/>
  <c r="V299" i="1" s="1"/>
  <c r="U300" i="1"/>
  <c r="V300" i="1" s="1"/>
  <c r="U301" i="1"/>
  <c r="V301" i="1" s="1"/>
  <c r="U302" i="1"/>
  <c r="V302" i="1" s="1"/>
  <c r="U303" i="1"/>
  <c r="V303" i="1" s="1"/>
  <c r="U304" i="1"/>
  <c r="V304" i="1" s="1"/>
  <c r="U305" i="1"/>
  <c r="V305" i="1" s="1"/>
  <c r="U306" i="1"/>
  <c r="V306" i="1" s="1"/>
  <c r="U307" i="1"/>
  <c r="V307" i="1" s="1"/>
  <c r="U308" i="1"/>
  <c r="V308" i="1" s="1"/>
  <c r="U309" i="1"/>
  <c r="V309" i="1" s="1"/>
  <c r="U310" i="1"/>
  <c r="V310" i="1" s="1"/>
  <c r="U311" i="1"/>
  <c r="V311" i="1" s="1"/>
  <c r="U312" i="1"/>
  <c r="V312" i="1" s="1"/>
  <c r="U313" i="1"/>
  <c r="V313" i="1" s="1"/>
  <c r="U314" i="1"/>
  <c r="V314" i="1" s="1"/>
  <c r="U315" i="1"/>
  <c r="V315" i="1" s="1"/>
  <c r="U316" i="1"/>
  <c r="V316" i="1" s="1"/>
  <c r="U317" i="1"/>
  <c r="V317" i="1" s="1"/>
  <c r="U318" i="1"/>
  <c r="V318" i="1" s="1"/>
  <c r="U319" i="1"/>
  <c r="V319" i="1" s="1"/>
  <c r="U320" i="1"/>
  <c r="V320" i="1" s="1"/>
  <c r="U321" i="1"/>
  <c r="V321" i="1" s="1"/>
  <c r="U322" i="1"/>
  <c r="V322" i="1" s="1"/>
  <c r="U323" i="1"/>
  <c r="V323" i="1" s="1"/>
  <c r="U324" i="1"/>
  <c r="V324" i="1" s="1"/>
  <c r="U325" i="1"/>
  <c r="V325" i="1" s="1"/>
  <c r="U326" i="1"/>
  <c r="V326" i="1" s="1"/>
  <c r="U327" i="1"/>
  <c r="V327" i="1" s="1"/>
  <c r="U328" i="1"/>
  <c r="V328" i="1" s="1"/>
  <c r="U329" i="1"/>
  <c r="V329" i="1" s="1"/>
  <c r="U330" i="1"/>
  <c r="V330" i="1" s="1"/>
  <c r="U331" i="1"/>
  <c r="V331" i="1" s="1"/>
  <c r="U332" i="1"/>
  <c r="V332" i="1" s="1"/>
  <c r="U333" i="1"/>
  <c r="V333" i="1" s="1"/>
  <c r="U334" i="1"/>
  <c r="V334" i="1" s="1"/>
  <c r="U335" i="1"/>
  <c r="V335" i="1" s="1"/>
  <c r="U336" i="1"/>
  <c r="V336" i="1" s="1"/>
  <c r="U337" i="1"/>
  <c r="V337" i="1" s="1"/>
  <c r="U338" i="1"/>
  <c r="V338" i="1" s="1"/>
  <c r="U339" i="1"/>
  <c r="V339" i="1" s="1"/>
  <c r="U340" i="1"/>
  <c r="V340" i="1" s="1"/>
  <c r="U341" i="1"/>
  <c r="V341" i="1" s="1"/>
  <c r="U342" i="1"/>
  <c r="V342" i="1" s="1"/>
  <c r="U343" i="1"/>
  <c r="V343" i="1" s="1"/>
  <c r="U344" i="1"/>
  <c r="V344" i="1" s="1"/>
  <c r="U345" i="1"/>
  <c r="V345" i="1" s="1"/>
  <c r="U346" i="1"/>
  <c r="V346" i="1" s="1"/>
  <c r="U347" i="1"/>
  <c r="V347" i="1" s="1"/>
  <c r="U348" i="1"/>
  <c r="V348" i="1" s="1"/>
  <c r="U349" i="1"/>
  <c r="V349" i="1" s="1"/>
  <c r="U350" i="1"/>
  <c r="V350" i="1" s="1"/>
  <c r="U351" i="1"/>
  <c r="V351" i="1" s="1"/>
  <c r="U352" i="1"/>
  <c r="V352" i="1" s="1"/>
  <c r="U353" i="1"/>
  <c r="V353" i="1" s="1"/>
  <c r="U354" i="1"/>
  <c r="V354" i="1" s="1"/>
  <c r="U355" i="1"/>
  <c r="V355" i="1" s="1"/>
  <c r="U356" i="1"/>
  <c r="V356" i="1" s="1"/>
  <c r="U357" i="1"/>
  <c r="V357" i="1" s="1"/>
  <c r="U358" i="1"/>
  <c r="V358" i="1" s="1"/>
  <c r="U359" i="1"/>
  <c r="V359" i="1" s="1"/>
  <c r="U360" i="1"/>
  <c r="V360" i="1" s="1"/>
  <c r="U361" i="1"/>
  <c r="V361" i="1" s="1"/>
  <c r="U362" i="1"/>
  <c r="V362" i="1" s="1"/>
  <c r="U363" i="1"/>
  <c r="V363" i="1" s="1"/>
  <c r="U364" i="1"/>
  <c r="V364" i="1" s="1"/>
  <c r="U365" i="1"/>
  <c r="V365" i="1" s="1"/>
  <c r="U366" i="1"/>
  <c r="V366" i="1" s="1"/>
  <c r="U367" i="1"/>
  <c r="V367" i="1" s="1"/>
  <c r="U368" i="1"/>
  <c r="V368" i="1" s="1"/>
  <c r="U369" i="1"/>
  <c r="V369" i="1" s="1"/>
  <c r="U370" i="1"/>
  <c r="V370" i="1" s="1"/>
  <c r="U371" i="1"/>
  <c r="V371" i="1" s="1"/>
  <c r="U372" i="1"/>
  <c r="V372" i="1" s="1"/>
  <c r="U373" i="1"/>
  <c r="V373" i="1" s="1"/>
  <c r="U374" i="1"/>
  <c r="V374" i="1" s="1"/>
  <c r="U375" i="1"/>
  <c r="V375" i="1" s="1"/>
  <c r="U376" i="1"/>
  <c r="V376" i="1" s="1"/>
  <c r="U377" i="1"/>
  <c r="V377" i="1" s="1"/>
  <c r="U378" i="1"/>
  <c r="V378" i="1" s="1"/>
  <c r="U379" i="1"/>
  <c r="V379" i="1" s="1"/>
  <c r="U380" i="1"/>
  <c r="V380" i="1" s="1"/>
  <c r="U381" i="1"/>
  <c r="V381" i="1" s="1"/>
  <c r="U382" i="1"/>
  <c r="V382" i="1" s="1"/>
  <c r="U383" i="1"/>
  <c r="V383" i="1" s="1"/>
  <c r="U384" i="1"/>
  <c r="V384" i="1" s="1"/>
  <c r="U385" i="1"/>
  <c r="V385" i="1" s="1"/>
  <c r="U386" i="1"/>
  <c r="V386" i="1" s="1"/>
  <c r="U387" i="1"/>
  <c r="V387" i="1" s="1"/>
  <c r="U388" i="1"/>
  <c r="V388" i="1" s="1"/>
  <c r="U389" i="1"/>
  <c r="V389" i="1" s="1"/>
  <c r="U390" i="1"/>
  <c r="V390" i="1" s="1"/>
  <c r="U391" i="1"/>
  <c r="V391" i="1" s="1"/>
  <c r="U392" i="1"/>
  <c r="V392" i="1" s="1"/>
  <c r="U393" i="1"/>
  <c r="V393" i="1" s="1"/>
  <c r="U394" i="1"/>
  <c r="V394" i="1" s="1"/>
  <c r="U395" i="1"/>
  <c r="V395" i="1" s="1"/>
  <c r="U396" i="1"/>
  <c r="V396" i="1" s="1"/>
  <c r="U397" i="1"/>
  <c r="V397" i="1" s="1"/>
  <c r="U398" i="1"/>
  <c r="V398" i="1" s="1"/>
  <c r="U399" i="1"/>
  <c r="V399" i="1" s="1"/>
  <c r="U400" i="1"/>
  <c r="V400" i="1" s="1"/>
  <c r="U401" i="1"/>
  <c r="V401" i="1" s="1"/>
  <c r="U402" i="1"/>
  <c r="V402" i="1" s="1"/>
  <c r="U403" i="1"/>
  <c r="V403" i="1" s="1"/>
  <c r="U404" i="1"/>
  <c r="V404" i="1" s="1"/>
  <c r="U405" i="1"/>
  <c r="V405" i="1" s="1"/>
  <c r="U406" i="1"/>
  <c r="V406" i="1" s="1"/>
  <c r="U407" i="1"/>
  <c r="V407" i="1" s="1"/>
  <c r="U408" i="1"/>
  <c r="V408" i="1" s="1"/>
  <c r="U409" i="1"/>
  <c r="V409" i="1" s="1"/>
  <c r="U410" i="1"/>
  <c r="V410" i="1" s="1"/>
  <c r="U411" i="1"/>
  <c r="V411" i="1" s="1"/>
  <c r="U412" i="1"/>
  <c r="V412" i="1" s="1"/>
  <c r="U413" i="1"/>
  <c r="V413" i="1" s="1"/>
  <c r="U414" i="1"/>
  <c r="V414" i="1" s="1"/>
  <c r="U415" i="1"/>
  <c r="V415" i="1" s="1"/>
  <c r="U416" i="1"/>
  <c r="V416" i="1" s="1"/>
  <c r="U417" i="1"/>
  <c r="V417" i="1" s="1"/>
  <c r="U418" i="1"/>
  <c r="V418" i="1" s="1"/>
  <c r="U419" i="1"/>
  <c r="V419" i="1" s="1"/>
  <c r="U420" i="1"/>
  <c r="V420" i="1" s="1"/>
  <c r="U421" i="1"/>
  <c r="V421" i="1" s="1"/>
  <c r="U422" i="1"/>
  <c r="V422" i="1" s="1"/>
  <c r="U423" i="1"/>
  <c r="V423" i="1" s="1"/>
  <c r="U424" i="1"/>
  <c r="V424" i="1" s="1"/>
  <c r="V30" i="1"/>
  <c r="V31" i="1"/>
  <c r="V32" i="1"/>
  <c r="BN424" i="1"/>
  <c r="BP424" i="1" s="1"/>
  <c r="BM424" i="1"/>
  <c r="BN423" i="1"/>
  <c r="BO423" i="1" s="1"/>
  <c r="BM423" i="1"/>
  <c r="BN422" i="1"/>
  <c r="BO422" i="1" s="1"/>
  <c r="BM422" i="1"/>
  <c r="BN421" i="1"/>
  <c r="BO421" i="1" s="1"/>
  <c r="BM421" i="1"/>
  <c r="BN420" i="1"/>
  <c r="BP420" i="1" s="1"/>
  <c r="BM420" i="1"/>
  <c r="BN419" i="1"/>
  <c r="BM419" i="1"/>
  <c r="BN418" i="1"/>
  <c r="BO418" i="1" s="1"/>
  <c r="BM418" i="1"/>
  <c r="BN417" i="1"/>
  <c r="BO417" i="1" s="1"/>
  <c r="BM417" i="1"/>
  <c r="BN416" i="1"/>
  <c r="BO416" i="1" s="1"/>
  <c r="BM416" i="1"/>
  <c r="BN415" i="1"/>
  <c r="BO415" i="1" s="1"/>
  <c r="BM415" i="1"/>
  <c r="BN414" i="1"/>
  <c r="BO414" i="1" s="1"/>
  <c r="BM414" i="1"/>
  <c r="BN413" i="1"/>
  <c r="BO413" i="1" s="1"/>
  <c r="BM413" i="1"/>
  <c r="BN412" i="1"/>
  <c r="BO412" i="1" s="1"/>
  <c r="BM412" i="1"/>
  <c r="BN411" i="1"/>
  <c r="BP411" i="1" s="1"/>
  <c r="BM411" i="1"/>
  <c r="BN410" i="1"/>
  <c r="BO410" i="1" s="1"/>
  <c r="BM410" i="1"/>
  <c r="BN409" i="1"/>
  <c r="BO409" i="1" s="1"/>
  <c r="BM409" i="1"/>
  <c r="BN408" i="1"/>
  <c r="BM408" i="1"/>
  <c r="BN407" i="1"/>
  <c r="BO407" i="1" s="1"/>
  <c r="BM407" i="1"/>
  <c r="BN406" i="1"/>
  <c r="BO406" i="1" s="1"/>
  <c r="BM406" i="1"/>
  <c r="BN405" i="1"/>
  <c r="BM405" i="1"/>
  <c r="BN404" i="1"/>
  <c r="BO404" i="1" s="1"/>
  <c r="BM404" i="1"/>
  <c r="BN403" i="1"/>
  <c r="BM403" i="1"/>
  <c r="BN402" i="1"/>
  <c r="BM402" i="1"/>
  <c r="BN401" i="1"/>
  <c r="BO401" i="1" s="1"/>
  <c r="BM401" i="1"/>
  <c r="BN400" i="1"/>
  <c r="BP400" i="1" s="1"/>
  <c r="BM400" i="1"/>
  <c r="BN399" i="1"/>
  <c r="BO399" i="1" s="1"/>
  <c r="BM399" i="1"/>
  <c r="BN398" i="1"/>
  <c r="BO398" i="1" s="1"/>
  <c r="BM398" i="1"/>
  <c r="BN397" i="1"/>
  <c r="BO397" i="1" s="1"/>
  <c r="BM397" i="1"/>
  <c r="BN396" i="1"/>
  <c r="BO396" i="1" s="1"/>
  <c r="BM396" i="1"/>
  <c r="BN395" i="1"/>
  <c r="BP395" i="1" s="1"/>
  <c r="BM395" i="1"/>
  <c r="BN394" i="1"/>
  <c r="BO394" i="1" s="1"/>
  <c r="BM394" i="1"/>
  <c r="BN393" i="1"/>
  <c r="BO393" i="1" s="1"/>
  <c r="BM393" i="1"/>
  <c r="BN392" i="1"/>
  <c r="BO392" i="1" s="1"/>
  <c r="BM392" i="1"/>
  <c r="BN391" i="1"/>
  <c r="BO391" i="1" s="1"/>
  <c r="BM391" i="1"/>
  <c r="BN390" i="1"/>
  <c r="BO390" i="1" s="1"/>
  <c r="BM390" i="1"/>
  <c r="BN389" i="1"/>
  <c r="BM389" i="1"/>
  <c r="BN388" i="1"/>
  <c r="BP388" i="1" s="1"/>
  <c r="BM388" i="1"/>
  <c r="BN387" i="1"/>
  <c r="BO387" i="1" s="1"/>
  <c r="BM387" i="1"/>
  <c r="BN386" i="1"/>
  <c r="BP386" i="1" s="1"/>
  <c r="BM386" i="1"/>
  <c r="BN385" i="1"/>
  <c r="BO385" i="1" s="1"/>
  <c r="BM385" i="1"/>
  <c r="BN384" i="1"/>
  <c r="BO384" i="1" s="1"/>
  <c r="BM384" i="1"/>
  <c r="BN383" i="1"/>
  <c r="BO383" i="1" s="1"/>
  <c r="BM383" i="1"/>
  <c r="BN382" i="1"/>
  <c r="BM382" i="1"/>
  <c r="BN381" i="1"/>
  <c r="BO381" i="1" s="1"/>
  <c r="BM381" i="1"/>
  <c r="BN380" i="1"/>
  <c r="BO380" i="1" s="1"/>
  <c r="BM380" i="1"/>
  <c r="BN379" i="1"/>
  <c r="BP379" i="1" s="1"/>
  <c r="BM379" i="1"/>
  <c r="BN378" i="1"/>
  <c r="BO378" i="1" s="1"/>
  <c r="BM378" i="1"/>
  <c r="BN377" i="1"/>
  <c r="BO377" i="1" s="1"/>
  <c r="BM377" i="1"/>
  <c r="BN376" i="1"/>
  <c r="BM376" i="1"/>
  <c r="BN375" i="1"/>
  <c r="BM375" i="1"/>
  <c r="BN374" i="1"/>
  <c r="BO374" i="1" s="1"/>
  <c r="BM374" i="1"/>
  <c r="BN373" i="1"/>
  <c r="BP373" i="1" s="1"/>
  <c r="BM373" i="1"/>
  <c r="BN372" i="1"/>
  <c r="BO372" i="1" s="1"/>
  <c r="BM372" i="1"/>
  <c r="BN371" i="1"/>
  <c r="BP371" i="1" s="1"/>
  <c r="BM371" i="1"/>
  <c r="BN370" i="1"/>
  <c r="BO370" i="1" s="1"/>
  <c r="BM370" i="1"/>
  <c r="BN369" i="1"/>
  <c r="BO369" i="1" s="1"/>
  <c r="BM369" i="1"/>
  <c r="BN368" i="1"/>
  <c r="BO368" i="1" s="1"/>
  <c r="BM368" i="1"/>
  <c r="BN367" i="1"/>
  <c r="BO367" i="1" s="1"/>
  <c r="BM367" i="1"/>
  <c r="BN366" i="1"/>
  <c r="BO366" i="1" s="1"/>
  <c r="BM366" i="1"/>
  <c r="BN365" i="1"/>
  <c r="BO365" i="1" s="1"/>
  <c r="BM365" i="1"/>
  <c r="BN364" i="1"/>
  <c r="BM364" i="1"/>
  <c r="BN363" i="1"/>
  <c r="BO363" i="1" s="1"/>
  <c r="BM363" i="1"/>
  <c r="BN362" i="1"/>
  <c r="BO362" i="1" s="1"/>
  <c r="BM362" i="1"/>
  <c r="BN361" i="1"/>
  <c r="BO361" i="1" s="1"/>
  <c r="BM361" i="1"/>
  <c r="BN360" i="1"/>
  <c r="BO360" i="1" s="1"/>
  <c r="BM360" i="1"/>
  <c r="BN359" i="1"/>
  <c r="BO359" i="1" s="1"/>
  <c r="BM359" i="1"/>
  <c r="BN358" i="1"/>
  <c r="BP358" i="1" s="1"/>
  <c r="BM358" i="1"/>
  <c r="BN357" i="1"/>
  <c r="BO357" i="1" s="1"/>
  <c r="BM357" i="1"/>
  <c r="BN356" i="1"/>
  <c r="BO356" i="1" s="1"/>
  <c r="BM356" i="1"/>
  <c r="BN355" i="1"/>
  <c r="BO355" i="1" s="1"/>
  <c r="BM355" i="1"/>
  <c r="BN354" i="1"/>
  <c r="BO354" i="1" s="1"/>
  <c r="BM354" i="1"/>
  <c r="BN353" i="1"/>
  <c r="BO353" i="1" s="1"/>
  <c r="BM353" i="1"/>
  <c r="BN352" i="1"/>
  <c r="BO352" i="1" s="1"/>
  <c r="BM352" i="1"/>
  <c r="BN351" i="1"/>
  <c r="BO351" i="1" s="1"/>
  <c r="BM351" i="1"/>
  <c r="BN350" i="1"/>
  <c r="BO350" i="1" s="1"/>
  <c r="BM350" i="1"/>
  <c r="BN349" i="1"/>
  <c r="BM349" i="1"/>
  <c r="BN348" i="1"/>
  <c r="BO348" i="1" s="1"/>
  <c r="BM348" i="1"/>
  <c r="BN347" i="1"/>
  <c r="BO347" i="1" s="1"/>
  <c r="BM347" i="1"/>
  <c r="BN346" i="1"/>
  <c r="BO346" i="1" s="1"/>
  <c r="BM346" i="1"/>
  <c r="BN345" i="1"/>
  <c r="BO345" i="1" s="1"/>
  <c r="BM345" i="1"/>
  <c r="BN344" i="1"/>
  <c r="BM344" i="1"/>
  <c r="BN343" i="1"/>
  <c r="BO343" i="1" s="1"/>
  <c r="BM343" i="1"/>
  <c r="BN342" i="1"/>
  <c r="BO342" i="1" s="1"/>
  <c r="BM342" i="1"/>
  <c r="BN341" i="1"/>
  <c r="BO341" i="1" s="1"/>
  <c r="BM341" i="1"/>
  <c r="BN340" i="1"/>
  <c r="BP340" i="1" s="1"/>
  <c r="BM340" i="1"/>
  <c r="BN339" i="1"/>
  <c r="BO339" i="1" s="1"/>
  <c r="BM339" i="1"/>
  <c r="BN338" i="1"/>
  <c r="BP338" i="1" s="1"/>
  <c r="BM338" i="1"/>
  <c r="BN337" i="1"/>
  <c r="BO337" i="1" s="1"/>
  <c r="BM337" i="1"/>
  <c r="BN336" i="1"/>
  <c r="BP336" i="1" s="1"/>
  <c r="BM336" i="1"/>
  <c r="BN335" i="1"/>
  <c r="BP335" i="1" s="1"/>
  <c r="BM335" i="1"/>
  <c r="BN334" i="1"/>
  <c r="BO334" i="1" s="1"/>
  <c r="BM334" i="1"/>
  <c r="BN333" i="1"/>
  <c r="BO333" i="1" s="1"/>
  <c r="BM333" i="1"/>
  <c r="BN332" i="1"/>
  <c r="BO332" i="1" s="1"/>
  <c r="BM332" i="1"/>
  <c r="BN331" i="1"/>
  <c r="BO331" i="1" s="1"/>
  <c r="BM331" i="1"/>
  <c r="BN330" i="1"/>
  <c r="BO330" i="1" s="1"/>
  <c r="BM330" i="1"/>
  <c r="BN329" i="1"/>
  <c r="BO329" i="1" s="1"/>
  <c r="BM329" i="1"/>
  <c r="BN328" i="1"/>
  <c r="BM328" i="1"/>
  <c r="BN327" i="1"/>
  <c r="BO327" i="1" s="1"/>
  <c r="BM327" i="1"/>
  <c r="BN326" i="1"/>
  <c r="BP326" i="1" s="1"/>
  <c r="BM326" i="1"/>
  <c r="BN325" i="1"/>
  <c r="BM325" i="1"/>
  <c r="BN324" i="1"/>
  <c r="BO324" i="1" s="1"/>
  <c r="BM324" i="1"/>
  <c r="BN323" i="1"/>
  <c r="BO323" i="1" s="1"/>
  <c r="BM323" i="1"/>
  <c r="BN322" i="1"/>
  <c r="BO322" i="1" s="1"/>
  <c r="BM322" i="1"/>
  <c r="BN321" i="1"/>
  <c r="BM321" i="1"/>
  <c r="BN320" i="1"/>
  <c r="BO320" i="1" s="1"/>
  <c r="BM320" i="1"/>
  <c r="BN319" i="1"/>
  <c r="BM319" i="1"/>
  <c r="BN318" i="1"/>
  <c r="BM318" i="1"/>
  <c r="BN317" i="1"/>
  <c r="BM317" i="1"/>
  <c r="BN316" i="1"/>
  <c r="BO316" i="1" s="1"/>
  <c r="BM316" i="1"/>
  <c r="BN315" i="1"/>
  <c r="BP315" i="1" s="1"/>
  <c r="BM315" i="1"/>
  <c r="BN314" i="1"/>
  <c r="BO314" i="1" s="1"/>
  <c r="BM314" i="1"/>
  <c r="BN313" i="1"/>
  <c r="BM313" i="1"/>
  <c r="BN312" i="1"/>
  <c r="BO312" i="1" s="1"/>
  <c r="BM312" i="1"/>
  <c r="BN311" i="1"/>
  <c r="BP311" i="1" s="1"/>
  <c r="BM311" i="1"/>
  <c r="BN310" i="1"/>
  <c r="BM310" i="1"/>
  <c r="BN309" i="1"/>
  <c r="BO309" i="1" s="1"/>
  <c r="BM309" i="1"/>
  <c r="BN308" i="1"/>
  <c r="BM308" i="1"/>
  <c r="BN307" i="1"/>
  <c r="BM307" i="1"/>
  <c r="BN306" i="1"/>
  <c r="BO306" i="1" s="1"/>
  <c r="BM306" i="1"/>
  <c r="BN305" i="1"/>
  <c r="BO305" i="1" s="1"/>
  <c r="BM305" i="1"/>
  <c r="BN304" i="1"/>
  <c r="BM304" i="1"/>
  <c r="BN303" i="1"/>
  <c r="BO303" i="1" s="1"/>
  <c r="BM303" i="1"/>
  <c r="BN302" i="1"/>
  <c r="BM302" i="1"/>
  <c r="BN301" i="1"/>
  <c r="BO301" i="1" s="1"/>
  <c r="BM301" i="1"/>
  <c r="BN300" i="1"/>
  <c r="BP300" i="1" s="1"/>
  <c r="BM300" i="1"/>
  <c r="BN299" i="1"/>
  <c r="BO299" i="1" s="1"/>
  <c r="BM299" i="1"/>
  <c r="BN298" i="1"/>
  <c r="BO298" i="1" s="1"/>
  <c r="BM298" i="1"/>
  <c r="BN297" i="1"/>
  <c r="BP297" i="1" s="1"/>
  <c r="BM297" i="1"/>
  <c r="BN296" i="1"/>
  <c r="BM296" i="1"/>
  <c r="BN295" i="1"/>
  <c r="BM295" i="1"/>
  <c r="BN294" i="1"/>
  <c r="BO294" i="1" s="1"/>
  <c r="BM294" i="1"/>
  <c r="BN293" i="1"/>
  <c r="BO293" i="1" s="1"/>
  <c r="BM293" i="1"/>
  <c r="BN292" i="1"/>
  <c r="BM292" i="1"/>
  <c r="BN291" i="1"/>
  <c r="BO291" i="1" s="1"/>
  <c r="BM291" i="1"/>
  <c r="BN290" i="1"/>
  <c r="BM290" i="1"/>
  <c r="BN289" i="1"/>
  <c r="BO289" i="1" s="1"/>
  <c r="BM289" i="1"/>
  <c r="BN288" i="1"/>
  <c r="BO288" i="1" s="1"/>
  <c r="BM288" i="1"/>
  <c r="BN287" i="1"/>
  <c r="BP287" i="1" s="1"/>
  <c r="BM287" i="1"/>
  <c r="BN286" i="1"/>
  <c r="BO286" i="1" s="1"/>
  <c r="BM286" i="1"/>
  <c r="BN285" i="1"/>
  <c r="BO285" i="1" s="1"/>
  <c r="BM285" i="1"/>
  <c r="BN284" i="1"/>
  <c r="BO284" i="1" s="1"/>
  <c r="BM284" i="1"/>
  <c r="BN283" i="1"/>
  <c r="BO283" i="1" s="1"/>
  <c r="BM283" i="1"/>
  <c r="BN282" i="1"/>
  <c r="BM282" i="1"/>
  <c r="BN275" i="1"/>
  <c r="BP275" i="1" s="1"/>
  <c r="BM275" i="1"/>
  <c r="BN274" i="1"/>
  <c r="BM274" i="1"/>
  <c r="BN155" i="1"/>
  <c r="BM155" i="1"/>
  <c r="BN154" i="1"/>
  <c r="BO154" i="1" s="1"/>
  <c r="BM154" i="1"/>
  <c r="BN199" i="1"/>
  <c r="BM199" i="1"/>
  <c r="BN198" i="1"/>
  <c r="BP198" i="1" s="1"/>
  <c r="BM198" i="1"/>
  <c r="BN197" i="1"/>
  <c r="BP197" i="1" s="1"/>
  <c r="BM197" i="1"/>
  <c r="BN196" i="1"/>
  <c r="BO196" i="1" s="1"/>
  <c r="BM196" i="1"/>
  <c r="BN195" i="1"/>
  <c r="BO195" i="1" s="1"/>
  <c r="BM195" i="1"/>
  <c r="BN194" i="1"/>
  <c r="BM194" i="1"/>
  <c r="BN193" i="1"/>
  <c r="BO193" i="1" s="1"/>
  <c r="BM193" i="1"/>
  <c r="BN192" i="1"/>
  <c r="BO192" i="1" s="1"/>
  <c r="BM192" i="1"/>
  <c r="BN191" i="1"/>
  <c r="BP191" i="1" s="1"/>
  <c r="BM191" i="1"/>
  <c r="BN190" i="1"/>
  <c r="BP190" i="1" s="1"/>
  <c r="BM190" i="1"/>
  <c r="BN189" i="1"/>
  <c r="BP189" i="1" s="1"/>
  <c r="BM189" i="1"/>
  <c r="BN188" i="1"/>
  <c r="BO188" i="1" s="1"/>
  <c r="BM188" i="1"/>
  <c r="BN187" i="1"/>
  <c r="BM187" i="1"/>
  <c r="BN186" i="1"/>
  <c r="BP186" i="1" s="1"/>
  <c r="BM186" i="1"/>
  <c r="BN185" i="1"/>
  <c r="BM185" i="1"/>
  <c r="BN184" i="1"/>
  <c r="BM184" i="1"/>
  <c r="BN183" i="1"/>
  <c r="BO183" i="1" s="1"/>
  <c r="BM183" i="1"/>
  <c r="BN182" i="1"/>
  <c r="BO182" i="1" s="1"/>
  <c r="BM182" i="1"/>
  <c r="BN181" i="1"/>
  <c r="BO181" i="1" s="1"/>
  <c r="BM181" i="1"/>
  <c r="BN180" i="1"/>
  <c r="BO180" i="1" s="1"/>
  <c r="BM180" i="1"/>
  <c r="BN179" i="1"/>
  <c r="BO179" i="1" s="1"/>
  <c r="BM179" i="1"/>
  <c r="BN178" i="1"/>
  <c r="BM178" i="1"/>
  <c r="BN177" i="1"/>
  <c r="BP177" i="1" s="1"/>
  <c r="BM177" i="1"/>
  <c r="BN176" i="1"/>
  <c r="BO176" i="1" s="1"/>
  <c r="BM176" i="1"/>
  <c r="BN175" i="1"/>
  <c r="BM175" i="1"/>
  <c r="BN174" i="1"/>
  <c r="BP174" i="1" s="1"/>
  <c r="BM174" i="1"/>
  <c r="BN173" i="1"/>
  <c r="BM173" i="1"/>
  <c r="BN172" i="1"/>
  <c r="BO172" i="1" s="1"/>
  <c r="BM172" i="1"/>
  <c r="BN171" i="1"/>
  <c r="BO171" i="1" s="1"/>
  <c r="BM171" i="1"/>
  <c r="BN170" i="1"/>
  <c r="BO170" i="1" s="1"/>
  <c r="BM170" i="1"/>
  <c r="BN169" i="1"/>
  <c r="BO169" i="1" s="1"/>
  <c r="BM169" i="1"/>
  <c r="BN168" i="1"/>
  <c r="BO168" i="1" s="1"/>
  <c r="BM168" i="1"/>
  <c r="BN167" i="1"/>
  <c r="BO167" i="1" s="1"/>
  <c r="BM167" i="1"/>
  <c r="BN166" i="1"/>
  <c r="BP166" i="1" s="1"/>
  <c r="BM166" i="1"/>
  <c r="BN165" i="1"/>
  <c r="BM165" i="1"/>
  <c r="BN164" i="1"/>
  <c r="BO164" i="1" s="1"/>
  <c r="BM164" i="1"/>
  <c r="BN163" i="1"/>
  <c r="BO163" i="1" s="1"/>
  <c r="BM163" i="1"/>
  <c r="BN273" i="1"/>
  <c r="BO273" i="1" s="1"/>
  <c r="BM273" i="1"/>
  <c r="BN272" i="1"/>
  <c r="BP272" i="1" s="1"/>
  <c r="BM272" i="1"/>
  <c r="BN271" i="1"/>
  <c r="BO271" i="1" s="1"/>
  <c r="BM271" i="1"/>
  <c r="BN270" i="1"/>
  <c r="BO270" i="1" s="1"/>
  <c r="BM270" i="1"/>
  <c r="BN269" i="1"/>
  <c r="BP269" i="1" s="1"/>
  <c r="BM269" i="1"/>
  <c r="BN279" i="1"/>
  <c r="BO279" i="1" s="1"/>
  <c r="BM279" i="1"/>
  <c r="BN278" i="1"/>
  <c r="BO278" i="1" s="1"/>
  <c r="BM278" i="1"/>
  <c r="BN281" i="1"/>
  <c r="BO281" i="1" s="1"/>
  <c r="BM281" i="1"/>
  <c r="BN267" i="1"/>
  <c r="BP267" i="1" s="1"/>
  <c r="BM267" i="1"/>
  <c r="BN116" i="1"/>
  <c r="BO116" i="1" s="1"/>
  <c r="BM116" i="1"/>
  <c r="BN115" i="1"/>
  <c r="BO115" i="1" s="1"/>
  <c r="BM115" i="1"/>
  <c r="BN145" i="1"/>
  <c r="BP145" i="1" s="1"/>
  <c r="BM145" i="1"/>
  <c r="BN280" i="1"/>
  <c r="BP280" i="1" s="1"/>
  <c r="BM280" i="1"/>
  <c r="BN90" i="1"/>
  <c r="BP90" i="1" s="1"/>
  <c r="BM90" i="1"/>
  <c r="BN89" i="1"/>
  <c r="BO89" i="1" s="1"/>
  <c r="BM89" i="1"/>
  <c r="BN91" i="1"/>
  <c r="BM91" i="1"/>
  <c r="BN88" i="1"/>
  <c r="BP88" i="1" s="1"/>
  <c r="BM88" i="1"/>
  <c r="BN32" i="1"/>
  <c r="BO32" i="1" s="1"/>
  <c r="BM32" i="1"/>
  <c r="BN31" i="1"/>
  <c r="BO31" i="1" s="1"/>
  <c r="BM31" i="1"/>
  <c r="BM30" i="1"/>
  <c r="BN159" i="1"/>
  <c r="BM159" i="1"/>
  <c r="BN158" i="1"/>
  <c r="BP158" i="1" s="1"/>
  <c r="BM158" i="1"/>
  <c r="BN160" i="1"/>
  <c r="BP160" i="1" s="1"/>
  <c r="BM160" i="1"/>
  <c r="BN266" i="1"/>
  <c r="BO266" i="1" s="1"/>
  <c r="BM266" i="1"/>
  <c r="BN162" i="1"/>
  <c r="BO162" i="1" s="1"/>
  <c r="BM162" i="1"/>
  <c r="BN161" i="1"/>
  <c r="BO161" i="1" s="1"/>
  <c r="BM161" i="1"/>
  <c r="BN131" i="1"/>
  <c r="BO131" i="1" s="1"/>
  <c r="BM131" i="1"/>
  <c r="BN20" i="1"/>
  <c r="BO20" i="1" s="1"/>
  <c r="BM20" i="1"/>
  <c r="BN19" i="1"/>
  <c r="BO19" i="1" s="1"/>
  <c r="BM19" i="1"/>
  <c r="BN18" i="1"/>
  <c r="BP18" i="1" s="1"/>
  <c r="BM18" i="1"/>
  <c r="BN17" i="1"/>
  <c r="BP17" i="1" s="1"/>
  <c r="BM17" i="1"/>
  <c r="BN16" i="1"/>
  <c r="BM16" i="1"/>
  <c r="BN15" i="1"/>
  <c r="BO15" i="1" s="1"/>
  <c r="BM15" i="1"/>
  <c r="BN14" i="1"/>
  <c r="BM14" i="1"/>
  <c r="BN13" i="1"/>
  <c r="BO13" i="1" s="1"/>
  <c r="BM13" i="1"/>
  <c r="BN12" i="1"/>
  <c r="BP12" i="1" s="1"/>
  <c r="BM12" i="1"/>
  <c r="BN11" i="1"/>
  <c r="BM11" i="1"/>
  <c r="BN10" i="1"/>
  <c r="BO10" i="1" s="1"/>
  <c r="BM10" i="1"/>
  <c r="BN9" i="1"/>
  <c r="BO9" i="1" s="1"/>
  <c r="BM9" i="1"/>
  <c r="BN8" i="1"/>
  <c r="BO8" i="1" s="1"/>
  <c r="BM8" i="1"/>
  <c r="BN102" i="1"/>
  <c r="BO102" i="1" s="1"/>
  <c r="BM102" i="1"/>
  <c r="BN101" i="1"/>
  <c r="BP101" i="1" s="1"/>
  <c r="BM101" i="1"/>
  <c r="BN100" i="1"/>
  <c r="BP100" i="1" s="1"/>
  <c r="BM100" i="1"/>
  <c r="BN114" i="1"/>
  <c r="BO114" i="1" s="1"/>
  <c r="BM114" i="1"/>
  <c r="BN113" i="1"/>
  <c r="BP113" i="1" s="1"/>
  <c r="BM113" i="1"/>
  <c r="BN66" i="1"/>
  <c r="BM66" i="1"/>
  <c r="BN65" i="1"/>
  <c r="BO65" i="1" s="1"/>
  <c r="BM65" i="1"/>
  <c r="BN64" i="1"/>
  <c r="BO64" i="1" s="1"/>
  <c r="BM64" i="1"/>
  <c r="BN63" i="1"/>
  <c r="BP63" i="1" s="1"/>
  <c r="BM63" i="1"/>
  <c r="BN62" i="1"/>
  <c r="BO62" i="1" s="1"/>
  <c r="BM62" i="1"/>
  <c r="BN61" i="1"/>
  <c r="BO61" i="1" s="1"/>
  <c r="BM61" i="1"/>
  <c r="BN60" i="1"/>
  <c r="BO60" i="1" s="1"/>
  <c r="BM60" i="1"/>
  <c r="BN59" i="1"/>
  <c r="BP59" i="1" s="1"/>
  <c r="BM59" i="1"/>
  <c r="BN58" i="1"/>
  <c r="BP58" i="1" s="1"/>
  <c r="BM58" i="1"/>
  <c r="BN57" i="1"/>
  <c r="BP57" i="1" s="1"/>
  <c r="BM57" i="1"/>
  <c r="BN56" i="1"/>
  <c r="BO56" i="1" s="1"/>
  <c r="BM56" i="1"/>
  <c r="BN55" i="1"/>
  <c r="BM55" i="1"/>
  <c r="BN54" i="1"/>
  <c r="BP54" i="1" s="1"/>
  <c r="BM54" i="1"/>
  <c r="BN53" i="1"/>
  <c r="BO53" i="1" s="1"/>
  <c r="BM53" i="1"/>
  <c r="BN52" i="1"/>
  <c r="BO52" i="1" s="1"/>
  <c r="BM52" i="1"/>
  <c r="BN51" i="1"/>
  <c r="BO51" i="1" s="1"/>
  <c r="BM51" i="1"/>
  <c r="BN50" i="1"/>
  <c r="BO50" i="1" s="1"/>
  <c r="BM50" i="1"/>
  <c r="BN49" i="1"/>
  <c r="BP49" i="1" s="1"/>
  <c r="BM49" i="1"/>
  <c r="BN48" i="1"/>
  <c r="BO48" i="1" s="1"/>
  <c r="BM48" i="1"/>
  <c r="BN47" i="1"/>
  <c r="BM47" i="1"/>
  <c r="BN46" i="1"/>
  <c r="BO46" i="1" s="1"/>
  <c r="BM46" i="1"/>
  <c r="BN45" i="1"/>
  <c r="BO45" i="1" s="1"/>
  <c r="BM45" i="1"/>
  <c r="BN79" i="1"/>
  <c r="BP79" i="1" s="1"/>
  <c r="BM79" i="1"/>
  <c r="BN80" i="1"/>
  <c r="BM80" i="1"/>
  <c r="BN78" i="1"/>
  <c r="BP78" i="1" s="1"/>
  <c r="BM78" i="1"/>
  <c r="BN256" i="1"/>
  <c r="BP256" i="1" s="1"/>
  <c r="BM256" i="1"/>
  <c r="BN255" i="1"/>
  <c r="BM255" i="1"/>
  <c r="BN254" i="1"/>
  <c r="BO254" i="1" s="1"/>
  <c r="BM254" i="1"/>
  <c r="BN253" i="1"/>
  <c r="BO253" i="1" s="1"/>
  <c r="BM253" i="1"/>
  <c r="BN252" i="1"/>
  <c r="BO252" i="1" s="1"/>
  <c r="BM252" i="1"/>
  <c r="BN268" i="1"/>
  <c r="BP268" i="1" s="1"/>
  <c r="BM268" i="1"/>
  <c r="BN251" i="1"/>
  <c r="BO251" i="1" s="1"/>
  <c r="BM251" i="1"/>
  <c r="BN250" i="1"/>
  <c r="BM250" i="1"/>
  <c r="BN249" i="1"/>
  <c r="BP249" i="1" s="1"/>
  <c r="BM249" i="1"/>
  <c r="BN248" i="1"/>
  <c r="BP248" i="1" s="1"/>
  <c r="BM248" i="1"/>
  <c r="BN230" i="1"/>
  <c r="BO230" i="1" s="1"/>
  <c r="BM230" i="1"/>
  <c r="BN229" i="1"/>
  <c r="BO229" i="1" s="1"/>
  <c r="BM229" i="1"/>
  <c r="BN228" i="1"/>
  <c r="BM228" i="1"/>
  <c r="BN225" i="1"/>
  <c r="BO225" i="1" s="1"/>
  <c r="BM225" i="1"/>
  <c r="BN224" i="1"/>
  <c r="BP224" i="1" s="1"/>
  <c r="BM224" i="1"/>
  <c r="BN223" i="1"/>
  <c r="BP223" i="1" s="1"/>
  <c r="BM223" i="1"/>
  <c r="BN222" i="1"/>
  <c r="BP222" i="1" s="1"/>
  <c r="BM222" i="1"/>
  <c r="BN221" i="1"/>
  <c r="BP221" i="1" s="1"/>
  <c r="BM221" i="1"/>
  <c r="BN220" i="1"/>
  <c r="BP220" i="1" s="1"/>
  <c r="BM220" i="1"/>
  <c r="BN219" i="1"/>
  <c r="BM219" i="1"/>
  <c r="BN218" i="1"/>
  <c r="BO218" i="1" s="1"/>
  <c r="BM218" i="1"/>
  <c r="BN217" i="1"/>
  <c r="BP217" i="1" s="1"/>
  <c r="BM217" i="1"/>
  <c r="BN216" i="1"/>
  <c r="BP216" i="1" s="1"/>
  <c r="BM216" i="1"/>
  <c r="BN215" i="1"/>
  <c r="BO215" i="1" s="1"/>
  <c r="BM215" i="1"/>
  <c r="BN214" i="1"/>
  <c r="BP214" i="1" s="1"/>
  <c r="BM214" i="1"/>
  <c r="BN213" i="1"/>
  <c r="BM213" i="1"/>
  <c r="BN212" i="1"/>
  <c r="BP212" i="1" s="1"/>
  <c r="BM212" i="1"/>
  <c r="BN211" i="1"/>
  <c r="BO211" i="1" s="1"/>
  <c r="BM211" i="1"/>
  <c r="BN210" i="1"/>
  <c r="BM210" i="1"/>
  <c r="BN209" i="1"/>
  <c r="BO209" i="1" s="1"/>
  <c r="BM209" i="1"/>
  <c r="BN208" i="1"/>
  <c r="BP208" i="1" s="1"/>
  <c r="BM208" i="1"/>
  <c r="BN207" i="1"/>
  <c r="BO207" i="1" s="1"/>
  <c r="BM207" i="1"/>
  <c r="BN206" i="1"/>
  <c r="BM206" i="1"/>
  <c r="BN205" i="1"/>
  <c r="BO205" i="1" s="1"/>
  <c r="BM205" i="1"/>
  <c r="BN204" i="1"/>
  <c r="BO204" i="1" s="1"/>
  <c r="BM204" i="1"/>
  <c r="BN203" i="1"/>
  <c r="BP203" i="1" s="1"/>
  <c r="BM203" i="1"/>
  <c r="BN202" i="1"/>
  <c r="BM202" i="1"/>
  <c r="BN201" i="1"/>
  <c r="BO201" i="1" s="1"/>
  <c r="BM201" i="1"/>
  <c r="BN200" i="1"/>
  <c r="BP200" i="1" s="1"/>
  <c r="BM200" i="1"/>
  <c r="BN157" i="1"/>
  <c r="BM157" i="1"/>
  <c r="BN156" i="1"/>
  <c r="BP156" i="1" s="1"/>
  <c r="BM156" i="1"/>
  <c r="BN153" i="1"/>
  <c r="BO153" i="1" s="1"/>
  <c r="BM153" i="1"/>
  <c r="BN152" i="1"/>
  <c r="BO152" i="1" s="1"/>
  <c r="BM152" i="1"/>
  <c r="BN151" i="1"/>
  <c r="BO151" i="1" s="1"/>
  <c r="BM151" i="1"/>
  <c r="BN150" i="1"/>
  <c r="BO150" i="1" s="1"/>
  <c r="BM150" i="1"/>
  <c r="BN149" i="1"/>
  <c r="BO149" i="1" s="1"/>
  <c r="BM149" i="1"/>
  <c r="BN148" i="1"/>
  <c r="BM148" i="1"/>
  <c r="BN147" i="1"/>
  <c r="BO147" i="1" s="1"/>
  <c r="BM147" i="1"/>
  <c r="BN146" i="1"/>
  <c r="BO146" i="1" s="1"/>
  <c r="BM146" i="1"/>
  <c r="BN144" i="1"/>
  <c r="BO144" i="1" s="1"/>
  <c r="BM144" i="1"/>
  <c r="BN143" i="1"/>
  <c r="BM143" i="1"/>
  <c r="BN142" i="1"/>
  <c r="BO142" i="1" s="1"/>
  <c r="BM142" i="1"/>
  <c r="BN141" i="1"/>
  <c r="BO141" i="1" s="1"/>
  <c r="BM141" i="1"/>
  <c r="BN29" i="1"/>
  <c r="BO29" i="1" s="1"/>
  <c r="BN69" i="1"/>
  <c r="BP69" i="1" s="1"/>
  <c r="BN70" i="1"/>
  <c r="BN71" i="1"/>
  <c r="BN72" i="1"/>
  <c r="BO72" i="1" s="1"/>
  <c r="BN73" i="1"/>
  <c r="BO73" i="1" s="1"/>
  <c r="BN74" i="1"/>
  <c r="BO74" i="1" s="1"/>
  <c r="BN75" i="1"/>
  <c r="BP75" i="1" s="1"/>
  <c r="BN76" i="1"/>
  <c r="BO76" i="1" s="1"/>
  <c r="BN77" i="1"/>
  <c r="BN82" i="1"/>
  <c r="BP82" i="1" s="1"/>
  <c r="BN83" i="1"/>
  <c r="BO83" i="1" s="1"/>
  <c r="BN84" i="1"/>
  <c r="BO84" i="1" s="1"/>
  <c r="BN81" i="1"/>
  <c r="BM81" i="1"/>
  <c r="BN85" i="1"/>
  <c r="BN86" i="1"/>
  <c r="BO86" i="1" s="1"/>
  <c r="BN92" i="1"/>
  <c r="BO92" i="1" s="1"/>
  <c r="BN93" i="1"/>
  <c r="BO93" i="1" s="1"/>
  <c r="BN94" i="1"/>
  <c r="BO94" i="1" s="1"/>
  <c r="BN95" i="1"/>
  <c r="BP95" i="1" s="1"/>
  <c r="BM95" i="1"/>
  <c r="BN96" i="1"/>
  <c r="BO96" i="1" s="1"/>
  <c r="BN97" i="1"/>
  <c r="BN98" i="1"/>
  <c r="BP98" i="1" s="1"/>
  <c r="BN103" i="1"/>
  <c r="BO103" i="1" s="1"/>
  <c r="BN104" i="1"/>
  <c r="BO104" i="1" s="1"/>
  <c r="BN105" i="1"/>
  <c r="BO105" i="1" s="1"/>
  <c r="BN106" i="1"/>
  <c r="BP106" i="1" s="1"/>
  <c r="BN107" i="1"/>
  <c r="BP107" i="1" s="1"/>
  <c r="BN117" i="1"/>
  <c r="BO117" i="1" s="1"/>
  <c r="BN118" i="1"/>
  <c r="BP118" i="1" s="1"/>
  <c r="BN125" i="1"/>
  <c r="BP125" i="1" s="1"/>
  <c r="BN126" i="1"/>
  <c r="BP126" i="1" s="1"/>
  <c r="BN127" i="1"/>
  <c r="BO127" i="1" s="1"/>
  <c r="BN134" i="1"/>
  <c r="BP134" i="1" s="1"/>
  <c r="BN135" i="1"/>
  <c r="BO135" i="1" s="1"/>
  <c r="BN136" i="1"/>
  <c r="BO136" i="1" s="1"/>
  <c r="BN137" i="1"/>
  <c r="BP137" i="1" s="1"/>
  <c r="BN138" i="1"/>
  <c r="BO138" i="1" s="1"/>
  <c r="BN139" i="1"/>
  <c r="BO139" i="1" s="1"/>
  <c r="BN140" i="1"/>
  <c r="BO140" i="1" s="1"/>
  <c r="BN132" i="1"/>
  <c r="BO132" i="1" s="1"/>
  <c r="BN133" i="1"/>
  <c r="BO133" i="1" s="1"/>
  <c r="BM117" i="1"/>
  <c r="BM126" i="1"/>
  <c r="BM86" i="1"/>
  <c r="BM139" i="1"/>
  <c r="BM82" i="1"/>
  <c r="BM74" i="1"/>
  <c r="BM70" i="1"/>
  <c r="BM105" i="1"/>
  <c r="BM73" i="1"/>
  <c r="BM29" i="1"/>
  <c r="BM67" i="1"/>
  <c r="BM69" i="1"/>
  <c r="BM71" i="1"/>
  <c r="BM72" i="1"/>
  <c r="BM75" i="1"/>
  <c r="BM76" i="1"/>
  <c r="BM77" i="1"/>
  <c r="BM83" i="1"/>
  <c r="BM84" i="1"/>
  <c r="BM85" i="1"/>
  <c r="BM92" i="1"/>
  <c r="BM93" i="1"/>
  <c r="BM94" i="1"/>
  <c r="BM96" i="1"/>
  <c r="BM97" i="1"/>
  <c r="BM98" i="1"/>
  <c r="BM103" i="1"/>
  <c r="BM104" i="1"/>
  <c r="BM106" i="1"/>
  <c r="BM107" i="1"/>
  <c r="BM118" i="1"/>
  <c r="BM125" i="1"/>
  <c r="BM127" i="1"/>
  <c r="BM134" i="1"/>
  <c r="BM135" i="1"/>
  <c r="BM136" i="1"/>
  <c r="BM137" i="1"/>
  <c r="BM138" i="1"/>
  <c r="BM140" i="1"/>
  <c r="BM132" i="1"/>
  <c r="BM133" i="1"/>
  <c r="C2"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BN68" i="1"/>
  <c r="BO68" i="1" s="1"/>
  <c r="BM68" i="1"/>
  <c r="BN67" i="1"/>
  <c r="BP67" i="1" s="1"/>
  <c r="BO340" i="1" l="1"/>
  <c r="BQ340" i="1" s="1"/>
  <c r="BR340" i="1" s="1"/>
  <c r="BP414" i="1"/>
  <c r="BQ414" i="1" s="1"/>
  <c r="BP422" i="1"/>
  <c r="BQ422" i="1" s="1"/>
  <c r="BR422" i="1" s="1"/>
  <c r="BP412" i="1"/>
  <c r="BP416" i="1"/>
  <c r="BQ416" i="1" s="1"/>
  <c r="BR416" i="1" s="1"/>
  <c r="BP372" i="1"/>
  <c r="BQ372" i="1" s="1"/>
  <c r="BR372" i="1" s="1"/>
  <c r="BO424" i="1"/>
  <c r="BQ424" i="1" s="1"/>
  <c r="BR424" i="1" s="1"/>
  <c r="BO420" i="1"/>
  <c r="BQ420" i="1" s="1"/>
  <c r="BR420" i="1" s="1"/>
  <c r="BP324" i="1"/>
  <c r="BQ324" i="1" s="1"/>
  <c r="BR324" i="1" s="1"/>
  <c r="BP399" i="1"/>
  <c r="BQ399" i="1" s="1"/>
  <c r="BR399" i="1" s="1"/>
  <c r="BP391" i="1"/>
  <c r="BQ391" i="1" s="1"/>
  <c r="BR391" i="1" s="1"/>
  <c r="BP359" i="1"/>
  <c r="BQ359" i="1" s="1"/>
  <c r="BR359" i="1" s="1"/>
  <c r="BO336" i="1"/>
  <c r="BQ336" i="1" s="1"/>
  <c r="BR336" i="1" s="1"/>
  <c r="BR414" i="1"/>
  <c r="BP418" i="1"/>
  <c r="BQ418" i="1" s="1"/>
  <c r="BR418" i="1" s="1"/>
  <c r="BP374" i="1"/>
  <c r="BQ374" i="1" s="1"/>
  <c r="BR374" i="1" s="1"/>
  <c r="BP394" i="1"/>
  <c r="BQ394" i="1" s="1"/>
  <c r="BR394" i="1" s="1"/>
  <c r="BP378" i="1"/>
  <c r="BQ378" i="1" s="1"/>
  <c r="BR378" i="1" s="1"/>
  <c r="BO267" i="1"/>
  <c r="BQ267" i="1" s="1"/>
  <c r="BR267" i="1" s="1"/>
  <c r="BP363" i="1"/>
  <c r="BQ363" i="1" s="1"/>
  <c r="BR363" i="1" s="1"/>
  <c r="BP392" i="1"/>
  <c r="BQ392" i="1" s="1"/>
  <c r="BR392" i="1" s="1"/>
  <c r="BP398" i="1"/>
  <c r="BQ398" i="1" s="1"/>
  <c r="BR398" i="1" s="1"/>
  <c r="BP192" i="1"/>
  <c r="BQ192" i="1" s="1"/>
  <c r="BR192" i="1" s="1"/>
  <c r="BP390" i="1"/>
  <c r="BQ390" i="1" s="1"/>
  <c r="BR390" i="1" s="1"/>
  <c r="BO386" i="1"/>
  <c r="BQ386" i="1" s="1"/>
  <c r="BR386" i="1" s="1"/>
  <c r="BP342" i="1"/>
  <c r="BQ342" i="1" s="1"/>
  <c r="BR342" i="1" s="1"/>
  <c r="BP337" i="1"/>
  <c r="BQ337" i="1" s="1"/>
  <c r="BR337" i="1" s="1"/>
  <c r="BP370" i="1"/>
  <c r="BQ370" i="1" s="1"/>
  <c r="BR370" i="1" s="1"/>
  <c r="BP383" i="1"/>
  <c r="BQ383" i="1" s="1"/>
  <c r="BR383" i="1" s="1"/>
  <c r="BP163" i="1"/>
  <c r="BQ163" i="1" s="1"/>
  <c r="BR163" i="1" s="1"/>
  <c r="BP357" i="1"/>
  <c r="BQ357" i="1" s="1"/>
  <c r="BR357" i="1" s="1"/>
  <c r="BO191" i="1"/>
  <c r="BQ191" i="1" s="1"/>
  <c r="BR191" i="1" s="1"/>
  <c r="BP350" i="1"/>
  <c r="BQ350" i="1" s="1"/>
  <c r="BR350" i="1" s="1"/>
  <c r="BP352" i="1"/>
  <c r="BQ352" i="1" s="1"/>
  <c r="BR352" i="1" s="1"/>
  <c r="BP351" i="1"/>
  <c r="BQ351" i="1" s="1"/>
  <c r="BR351" i="1" s="1"/>
  <c r="BP353" i="1"/>
  <c r="BQ353" i="1" s="1"/>
  <c r="BR353" i="1" s="1"/>
  <c r="BP299" i="1"/>
  <c r="BQ299" i="1" s="1"/>
  <c r="BR299" i="1" s="1"/>
  <c r="BP387" i="1"/>
  <c r="BQ387" i="1" s="1"/>
  <c r="BR387" i="1" s="1"/>
  <c r="AU29" i="1"/>
  <c r="AT11" i="1"/>
  <c r="AU11" i="1"/>
  <c r="AT51" i="1"/>
  <c r="AU51" i="1"/>
  <c r="AT251" i="1"/>
  <c r="AU251" i="1"/>
  <c r="AT216" i="1"/>
  <c r="AU216" i="1"/>
  <c r="AT200" i="1"/>
  <c r="AU200" i="1"/>
  <c r="AT104" i="1"/>
  <c r="AU104" i="1"/>
  <c r="AT19" i="1"/>
  <c r="AU19" i="1"/>
  <c r="AT113" i="1"/>
  <c r="AU113" i="1"/>
  <c r="AT59" i="1"/>
  <c r="AU59" i="1"/>
  <c r="AT80" i="1"/>
  <c r="AU80" i="1"/>
  <c r="AT224" i="1"/>
  <c r="AU224" i="1"/>
  <c r="AT208" i="1"/>
  <c r="AU208" i="1"/>
  <c r="AT148" i="1"/>
  <c r="AU148" i="1"/>
  <c r="AT132" i="1"/>
  <c r="AU132" i="1"/>
  <c r="AT127" i="1"/>
  <c r="AU127" i="1"/>
  <c r="AT86" i="1"/>
  <c r="AU86" i="1"/>
  <c r="AT75" i="1"/>
  <c r="AU75" i="1"/>
  <c r="AT67" i="1"/>
  <c r="AU67" i="1"/>
  <c r="AT29" i="1"/>
  <c r="BP29" i="1"/>
  <c r="BQ29" i="1" s="1"/>
  <c r="BR29" i="1" s="1"/>
  <c r="BP356" i="1"/>
  <c r="BQ356" i="1" s="1"/>
  <c r="AT158" i="1"/>
  <c r="AU158" i="1"/>
  <c r="AT18" i="1"/>
  <c r="AU18" i="1"/>
  <c r="AV18" i="1"/>
  <c r="AW18" i="1" s="1"/>
  <c r="BB18" i="1" s="1"/>
  <c r="AT10" i="1"/>
  <c r="AU10" i="1"/>
  <c r="AT66" i="1"/>
  <c r="AU66" i="1"/>
  <c r="AT58" i="1"/>
  <c r="AU58" i="1"/>
  <c r="AT50" i="1"/>
  <c r="AU50" i="1"/>
  <c r="AT78" i="1"/>
  <c r="AU78" i="1"/>
  <c r="AT250" i="1"/>
  <c r="AU250" i="1"/>
  <c r="AT223" i="1"/>
  <c r="AU223" i="1"/>
  <c r="AT215" i="1"/>
  <c r="AU215" i="1"/>
  <c r="AT207" i="1"/>
  <c r="AU207" i="1"/>
  <c r="AT157" i="1"/>
  <c r="AU157" i="1"/>
  <c r="AT147" i="1"/>
  <c r="AU147" i="1"/>
  <c r="AT140" i="1"/>
  <c r="AU140" i="1"/>
  <c r="AT126" i="1"/>
  <c r="AU126" i="1"/>
  <c r="AT103" i="1"/>
  <c r="AU103" i="1"/>
  <c r="AT85" i="1"/>
  <c r="AU85" i="1"/>
  <c r="AT74" i="1"/>
  <c r="AU74" i="1"/>
  <c r="BP401" i="1"/>
  <c r="BQ401" i="1" s="1"/>
  <c r="BR401" i="1" s="1"/>
  <c r="AT160" i="1"/>
  <c r="AU160" i="1"/>
  <c r="AT17" i="1"/>
  <c r="AU17" i="1"/>
  <c r="AT9" i="1"/>
  <c r="AU9" i="1"/>
  <c r="AV9" i="1"/>
  <c r="AW9" i="1" s="1"/>
  <c r="BB9" i="1" s="1"/>
  <c r="AT65" i="1"/>
  <c r="AU65" i="1"/>
  <c r="AT57" i="1"/>
  <c r="AU57" i="1"/>
  <c r="AT49" i="1"/>
  <c r="AU49" i="1"/>
  <c r="AT256" i="1"/>
  <c r="AU256" i="1"/>
  <c r="AT249" i="1"/>
  <c r="AU249" i="1"/>
  <c r="AT222" i="1"/>
  <c r="AU222" i="1"/>
  <c r="AT214" i="1"/>
  <c r="AU214" i="1"/>
  <c r="AT206" i="1"/>
  <c r="AU206" i="1"/>
  <c r="AT156" i="1"/>
  <c r="AU156" i="1"/>
  <c r="AT146" i="1"/>
  <c r="AU146" i="1"/>
  <c r="AT139" i="1"/>
  <c r="AU139" i="1"/>
  <c r="AT125" i="1"/>
  <c r="AU125" i="1"/>
  <c r="AT98" i="1"/>
  <c r="AU98" i="1"/>
  <c r="AT81" i="1"/>
  <c r="AU81" i="1"/>
  <c r="AV81" i="1"/>
  <c r="AW81" i="1" s="1"/>
  <c r="BB81" i="1" s="1"/>
  <c r="AT73" i="1"/>
  <c r="AU73" i="1"/>
  <c r="BP421" i="1"/>
  <c r="BQ421" i="1" s="1"/>
  <c r="BR421" i="1" s="1"/>
  <c r="BP332" i="1"/>
  <c r="BQ332" i="1" s="1"/>
  <c r="BR332" i="1" s="1"/>
  <c r="AT266" i="1"/>
  <c r="AU266" i="1"/>
  <c r="AT16" i="1"/>
  <c r="AU16" i="1"/>
  <c r="AT8" i="1"/>
  <c r="AU8" i="1"/>
  <c r="AT64" i="1"/>
  <c r="AU64" i="1"/>
  <c r="AT56" i="1"/>
  <c r="AU56" i="1"/>
  <c r="AT48" i="1"/>
  <c r="AU48" i="1"/>
  <c r="AT255" i="1"/>
  <c r="AU255" i="1"/>
  <c r="AT248" i="1"/>
  <c r="AU248" i="1"/>
  <c r="AT221" i="1"/>
  <c r="AU221" i="1"/>
  <c r="AT213" i="1"/>
  <c r="AU213" i="1"/>
  <c r="AT205" i="1"/>
  <c r="AU205" i="1"/>
  <c r="AT153" i="1"/>
  <c r="AU153" i="1"/>
  <c r="AT144" i="1"/>
  <c r="AU144" i="1"/>
  <c r="AT138" i="1"/>
  <c r="AU138" i="1"/>
  <c r="AT118" i="1"/>
  <c r="AU118" i="1"/>
  <c r="AT97" i="1"/>
  <c r="AU97" i="1"/>
  <c r="AT84" i="1"/>
  <c r="AU84" i="1"/>
  <c r="AT72" i="1"/>
  <c r="AU72" i="1"/>
  <c r="AT162" i="1"/>
  <c r="AU162" i="1"/>
  <c r="AT15" i="1"/>
  <c r="AU15" i="1"/>
  <c r="AT102" i="1"/>
  <c r="AU102" i="1"/>
  <c r="AT63" i="1"/>
  <c r="AU63" i="1"/>
  <c r="AT55" i="1"/>
  <c r="AU55" i="1"/>
  <c r="AT47" i="1"/>
  <c r="AU47" i="1"/>
  <c r="AT254" i="1"/>
  <c r="AU254" i="1"/>
  <c r="AT230" i="1"/>
  <c r="AU230" i="1"/>
  <c r="AT220" i="1"/>
  <c r="AU220" i="1"/>
  <c r="AT212" i="1"/>
  <c r="AU212" i="1"/>
  <c r="AT204" i="1"/>
  <c r="AU204" i="1"/>
  <c r="AT152" i="1"/>
  <c r="AU152" i="1"/>
  <c r="AT143" i="1"/>
  <c r="AU143" i="1"/>
  <c r="AT137" i="1"/>
  <c r="AU137" i="1"/>
  <c r="AT117" i="1"/>
  <c r="AU117" i="1"/>
  <c r="AT96" i="1"/>
  <c r="AU96" i="1"/>
  <c r="AT83" i="1"/>
  <c r="AU83" i="1"/>
  <c r="AT71" i="1"/>
  <c r="AU71" i="1"/>
  <c r="BO280" i="1"/>
  <c r="BQ280" i="1" s="1"/>
  <c r="BR280" i="1" s="1"/>
  <c r="AR30" i="1"/>
  <c r="AX30" i="1" s="1"/>
  <c r="BB30" i="1" s="1"/>
  <c r="AS30" i="1"/>
  <c r="AT161" i="1"/>
  <c r="AU161" i="1"/>
  <c r="AT14" i="1"/>
  <c r="AU14" i="1"/>
  <c r="AT101" i="1"/>
  <c r="AU101" i="1"/>
  <c r="AT62" i="1"/>
  <c r="AU62" i="1"/>
  <c r="AT54" i="1"/>
  <c r="AU54" i="1"/>
  <c r="AT46" i="1"/>
  <c r="AU46" i="1"/>
  <c r="AT253" i="1"/>
  <c r="AU253" i="1"/>
  <c r="AT229" i="1"/>
  <c r="AU229" i="1"/>
  <c r="AT219" i="1"/>
  <c r="AU219" i="1"/>
  <c r="AT211" i="1"/>
  <c r="AU211" i="1"/>
  <c r="AT203" i="1"/>
  <c r="AU203" i="1"/>
  <c r="AT151" i="1"/>
  <c r="AU151" i="1"/>
  <c r="AT142" i="1"/>
  <c r="AU142" i="1"/>
  <c r="AT136" i="1"/>
  <c r="AU136" i="1"/>
  <c r="AT107" i="1"/>
  <c r="AU107" i="1"/>
  <c r="AT95" i="1"/>
  <c r="AU95" i="1"/>
  <c r="AT82" i="1"/>
  <c r="AU82" i="1"/>
  <c r="AT70" i="1"/>
  <c r="AU70" i="1"/>
  <c r="BP417" i="1"/>
  <c r="BQ417" i="1" s="1"/>
  <c r="BR417" i="1" s="1"/>
  <c r="BP361" i="1"/>
  <c r="BQ361" i="1" s="1"/>
  <c r="BR361" i="1" s="1"/>
  <c r="BP413" i="1"/>
  <c r="BQ413" i="1" s="1"/>
  <c r="BR413" i="1" s="1"/>
  <c r="BP409" i="1"/>
  <c r="BQ409" i="1" s="1"/>
  <c r="BR409" i="1" s="1"/>
  <c r="AR31" i="1"/>
  <c r="AX31" i="1" s="1"/>
  <c r="BB31" i="1" s="1"/>
  <c r="AS31" i="1"/>
  <c r="AT131" i="1"/>
  <c r="AU131" i="1"/>
  <c r="AT13" i="1"/>
  <c r="AU13" i="1"/>
  <c r="AT100" i="1"/>
  <c r="AU100" i="1"/>
  <c r="AT61" i="1"/>
  <c r="AU61" i="1"/>
  <c r="AT53" i="1"/>
  <c r="AU53" i="1"/>
  <c r="AT45" i="1"/>
  <c r="AU45" i="1"/>
  <c r="AT252" i="1"/>
  <c r="AU252" i="1"/>
  <c r="AT228" i="1"/>
  <c r="AU228" i="1"/>
  <c r="AT218" i="1"/>
  <c r="AU218" i="1"/>
  <c r="AT210" i="1"/>
  <c r="AU210" i="1"/>
  <c r="AT202" i="1"/>
  <c r="AU202" i="1"/>
  <c r="AT150" i="1"/>
  <c r="AU150" i="1"/>
  <c r="AT141" i="1"/>
  <c r="AU141" i="1"/>
  <c r="AT135" i="1"/>
  <c r="AU135" i="1"/>
  <c r="AT106" i="1"/>
  <c r="AU106" i="1"/>
  <c r="AT94" i="1"/>
  <c r="AU94" i="1"/>
  <c r="AT77" i="1"/>
  <c r="AU77" i="1"/>
  <c r="AT69" i="1"/>
  <c r="AU69" i="1"/>
  <c r="BP355" i="1"/>
  <c r="BQ355" i="1" s="1"/>
  <c r="BR355" i="1" s="1"/>
  <c r="BP368" i="1"/>
  <c r="BQ368" i="1" s="1"/>
  <c r="BR368" i="1" s="1"/>
  <c r="BP348" i="1"/>
  <c r="BQ348" i="1" s="1"/>
  <c r="BR348" i="1" s="1"/>
  <c r="AR32" i="1"/>
  <c r="AX32" i="1" s="1"/>
  <c r="BB32" i="1" s="1"/>
  <c r="AS32" i="1"/>
  <c r="AT20" i="1"/>
  <c r="AU20" i="1"/>
  <c r="AT12" i="1"/>
  <c r="AU12" i="1"/>
  <c r="AT114" i="1"/>
  <c r="AU114" i="1"/>
  <c r="AT60" i="1"/>
  <c r="AU60" i="1"/>
  <c r="AT52" i="1"/>
  <c r="AU52" i="1"/>
  <c r="AT79" i="1"/>
  <c r="AU79" i="1"/>
  <c r="AT268" i="1"/>
  <c r="AU268" i="1"/>
  <c r="AT225" i="1"/>
  <c r="AU225" i="1"/>
  <c r="AT217" i="1"/>
  <c r="AU217" i="1"/>
  <c r="AT209" i="1"/>
  <c r="AU209" i="1"/>
  <c r="AT201" i="1"/>
  <c r="AU201" i="1"/>
  <c r="AT149" i="1"/>
  <c r="AU149" i="1"/>
  <c r="AT133" i="1"/>
  <c r="AU133" i="1"/>
  <c r="AT134" i="1"/>
  <c r="AU134" i="1"/>
  <c r="AT105" i="1"/>
  <c r="AU105" i="1"/>
  <c r="AT93" i="1"/>
  <c r="AU93" i="1"/>
  <c r="AT76" i="1"/>
  <c r="AU76" i="1"/>
  <c r="AT68" i="1"/>
  <c r="AU68" i="1"/>
  <c r="BP343" i="1"/>
  <c r="BQ343" i="1" s="1"/>
  <c r="BR343" i="1" s="1"/>
  <c r="BP273" i="1"/>
  <c r="BQ273" i="1" s="1"/>
  <c r="BR273" i="1" s="1"/>
  <c r="BP347" i="1"/>
  <c r="BQ347" i="1" s="1"/>
  <c r="BR347" i="1" s="1"/>
  <c r="BP195" i="1"/>
  <c r="BQ195" i="1" s="1"/>
  <c r="BR195" i="1" s="1"/>
  <c r="BP330" i="1"/>
  <c r="BQ330" i="1" s="1"/>
  <c r="BR330" i="1" s="1"/>
  <c r="BP294" i="1"/>
  <c r="BQ294" i="1" s="1"/>
  <c r="BR294" i="1" s="1"/>
  <c r="BO373" i="1"/>
  <c r="BQ373" i="1" s="1"/>
  <c r="BR373" i="1" s="1"/>
  <c r="BO269" i="1"/>
  <c r="BQ269" i="1" s="1"/>
  <c r="BR269" i="1" s="1"/>
  <c r="BO326" i="1"/>
  <c r="BQ326" i="1" s="1"/>
  <c r="BR326" i="1" s="1"/>
  <c r="BO197" i="1"/>
  <c r="BQ197" i="1" s="1"/>
  <c r="BR197" i="1" s="1"/>
  <c r="BO189" i="1"/>
  <c r="BQ189" i="1" s="1"/>
  <c r="BR189" i="1" s="1"/>
  <c r="BP171" i="1"/>
  <c r="BQ171" i="1" s="1"/>
  <c r="BR171" i="1" s="1"/>
  <c r="BP170" i="1"/>
  <c r="BQ170" i="1" s="1"/>
  <c r="BR170" i="1" s="1"/>
  <c r="BP291" i="1"/>
  <c r="BQ291" i="1" s="1"/>
  <c r="BR291" i="1" s="1"/>
  <c r="BP193" i="1"/>
  <c r="BQ193" i="1" s="1"/>
  <c r="BR193" i="1" s="1"/>
  <c r="BP322" i="1"/>
  <c r="BQ322" i="1" s="1"/>
  <c r="BR322" i="1" s="1"/>
  <c r="BP397" i="1"/>
  <c r="BQ397" i="1" s="1"/>
  <c r="BR397" i="1" s="1"/>
  <c r="BP314" i="1"/>
  <c r="BQ314" i="1" s="1"/>
  <c r="BR314" i="1" s="1"/>
  <c r="BP306" i="1"/>
  <c r="BQ306" i="1" s="1"/>
  <c r="BR306" i="1" s="1"/>
  <c r="BP93" i="1"/>
  <c r="BQ93" i="1" s="1"/>
  <c r="BR93" i="1" s="1"/>
  <c r="BO156" i="1"/>
  <c r="BQ156" i="1" s="1"/>
  <c r="BR156" i="1" s="1"/>
  <c r="BO78" i="1"/>
  <c r="BQ78" i="1" s="1"/>
  <c r="BR78" i="1" s="1"/>
  <c r="BP141" i="1"/>
  <c r="BQ141" i="1" s="1"/>
  <c r="BR141" i="1" s="1"/>
  <c r="BP209" i="1"/>
  <c r="BQ209" i="1" s="1"/>
  <c r="BR209" i="1" s="1"/>
  <c r="BO12" i="1"/>
  <c r="BQ12" i="1" s="1"/>
  <c r="BR12" i="1" s="1"/>
  <c r="BP74" i="1"/>
  <c r="BQ74" i="1" s="1"/>
  <c r="BR74" i="1" s="1"/>
  <c r="BP251" i="1"/>
  <c r="BQ251" i="1" s="1"/>
  <c r="BR251" i="1" s="1"/>
  <c r="BP9" i="1"/>
  <c r="BQ9" i="1" s="1"/>
  <c r="BR9" i="1" s="1"/>
  <c r="BP13" i="1"/>
  <c r="BQ13" i="1" s="1"/>
  <c r="BR13" i="1" s="1"/>
  <c r="BP201" i="1"/>
  <c r="BQ201" i="1" s="1"/>
  <c r="BR201" i="1" s="1"/>
  <c r="BO160" i="1"/>
  <c r="BQ160" i="1" s="1"/>
  <c r="BR160" i="1" s="1"/>
  <c r="BP149" i="1"/>
  <c r="BQ149" i="1" s="1"/>
  <c r="BR149" i="1" s="1"/>
  <c r="BO203" i="1"/>
  <c r="BQ203" i="1" s="1"/>
  <c r="BR203" i="1" s="1"/>
  <c r="BP20" i="1"/>
  <c r="BQ20" i="1" s="1"/>
  <c r="BR20" i="1" s="1"/>
  <c r="BP133" i="1"/>
  <c r="BQ133" i="1" s="1"/>
  <c r="BR133" i="1" s="1"/>
  <c r="BP73" i="1"/>
  <c r="BQ73" i="1" s="1"/>
  <c r="BR73" i="1" s="1"/>
  <c r="BO256" i="1"/>
  <c r="BQ256" i="1" s="1"/>
  <c r="BR256" i="1" s="1"/>
  <c r="BP153" i="1"/>
  <c r="BQ153" i="1" s="1"/>
  <c r="BR153" i="1" s="1"/>
  <c r="BP266" i="1"/>
  <c r="BQ266" i="1" s="1"/>
  <c r="BR266" i="1" s="1"/>
  <c r="BP84" i="1"/>
  <c r="BQ84" i="1" s="1"/>
  <c r="BR84" i="1" s="1"/>
  <c r="BO107" i="1"/>
  <c r="BQ107" i="1" s="1"/>
  <c r="BR107" i="1" s="1"/>
  <c r="BO106" i="1"/>
  <c r="BQ106" i="1" s="1"/>
  <c r="BR106" i="1" s="1"/>
  <c r="BO249" i="1"/>
  <c r="BQ249" i="1" s="1"/>
  <c r="BR249" i="1" s="1"/>
  <c r="BP52" i="1"/>
  <c r="BQ52" i="1" s="1"/>
  <c r="BR52" i="1" s="1"/>
  <c r="BP26" i="1"/>
  <c r="BQ26" i="1" s="1"/>
  <c r="BR26" i="1" s="1"/>
  <c r="BO233" i="1"/>
  <c r="BQ233" i="1" s="1"/>
  <c r="BR233" i="1" s="1"/>
  <c r="BO27" i="1"/>
  <c r="BQ27" i="1" s="1"/>
  <c r="BR27" i="1" s="1"/>
  <c r="BO108" i="1"/>
  <c r="BQ108" i="1" s="1"/>
  <c r="BR108" i="1" s="1"/>
  <c r="BP129" i="1"/>
  <c r="BQ129" i="1" s="1"/>
  <c r="BR129" i="1" s="1"/>
  <c r="BP31" i="1"/>
  <c r="BQ31" i="1" s="1"/>
  <c r="BR31" i="1" s="1"/>
  <c r="BP241" i="1"/>
  <c r="BQ241" i="1" s="1"/>
  <c r="BR241" i="1" s="1"/>
  <c r="BO258" i="1"/>
  <c r="BQ258" i="1" s="1"/>
  <c r="BR258" i="1" s="1"/>
  <c r="BO99" i="1"/>
  <c r="BQ99" i="1" s="1"/>
  <c r="BR99" i="1" s="1"/>
  <c r="BO262" i="1"/>
  <c r="BQ262" i="1" s="1"/>
  <c r="BR262" i="1" s="1"/>
  <c r="BO259" i="1"/>
  <c r="BQ259" i="1" s="1"/>
  <c r="BR259" i="1" s="1"/>
  <c r="BP111" i="1"/>
  <c r="BQ111" i="1" s="1"/>
  <c r="BR111" i="1" s="1"/>
  <c r="BP22" i="1"/>
  <c r="BQ22" i="1" s="1"/>
  <c r="BR22" i="1" s="1"/>
  <c r="BP235" i="1"/>
  <c r="BQ235" i="1" s="1"/>
  <c r="BR235" i="1" s="1"/>
  <c r="BP32" i="1"/>
  <c r="BQ32" i="1" s="1"/>
  <c r="BR32" i="1" s="1"/>
  <c r="BO246" i="1"/>
  <c r="BQ246" i="1" s="1"/>
  <c r="BR246" i="1" s="1"/>
  <c r="BP21" i="1"/>
  <c r="BQ21" i="1" s="1"/>
  <c r="BR21" i="1" s="1"/>
  <c r="BO243" i="1"/>
  <c r="BQ243" i="1" s="1"/>
  <c r="BR243" i="1" s="1"/>
  <c r="BO3" i="1"/>
  <c r="BQ3" i="1" s="1"/>
  <c r="BR3" i="1" s="1"/>
  <c r="BO260" i="1"/>
  <c r="BQ260" i="1" s="1"/>
  <c r="BR260" i="1" s="1"/>
  <c r="BP301" i="1"/>
  <c r="BQ301" i="1" s="1"/>
  <c r="BR301" i="1" s="1"/>
  <c r="BP154" i="1"/>
  <c r="BQ154" i="1" s="1"/>
  <c r="BR154" i="1" s="1"/>
  <c r="BP162" i="1"/>
  <c r="BQ162" i="1" s="1"/>
  <c r="BR162" i="1" s="1"/>
  <c r="BP102" i="1"/>
  <c r="BQ102" i="1" s="1"/>
  <c r="BR102" i="1" s="1"/>
  <c r="BP407" i="1"/>
  <c r="BQ407" i="1" s="1"/>
  <c r="BR407" i="1" s="1"/>
  <c r="BP293" i="1"/>
  <c r="BQ293" i="1" s="1"/>
  <c r="BR293" i="1" s="1"/>
  <c r="BP168" i="1"/>
  <c r="BQ168" i="1" s="1"/>
  <c r="BR168" i="1" s="1"/>
  <c r="BP329" i="1"/>
  <c r="BQ329" i="1" s="1"/>
  <c r="BR329" i="1" s="1"/>
  <c r="BP181" i="1"/>
  <c r="BQ181" i="1" s="1"/>
  <c r="BR181" i="1" s="1"/>
  <c r="BP285" i="1"/>
  <c r="BQ285" i="1" s="1"/>
  <c r="BR285" i="1" s="1"/>
  <c r="BO90" i="1"/>
  <c r="BQ90" i="1" s="1"/>
  <c r="BR90" i="1" s="1"/>
  <c r="BP119" i="1"/>
  <c r="BQ119" i="1" s="1"/>
  <c r="BR119" i="1" s="1"/>
  <c r="BO75" i="1"/>
  <c r="BQ75" i="1" s="1"/>
  <c r="BR75" i="1" s="1"/>
  <c r="BP104" i="1"/>
  <c r="BQ104" i="1" s="1"/>
  <c r="BR104" i="1" s="1"/>
  <c r="BP367" i="1"/>
  <c r="BQ367" i="1" s="1"/>
  <c r="BR367" i="1" s="1"/>
  <c r="BO186" i="1"/>
  <c r="BQ186" i="1" s="1"/>
  <c r="BR186" i="1" s="1"/>
  <c r="BP196" i="1"/>
  <c r="BQ196" i="1" s="1"/>
  <c r="BR196" i="1" s="1"/>
  <c r="BO158" i="1"/>
  <c r="BQ158" i="1" s="1"/>
  <c r="BR158" i="1" s="1"/>
  <c r="BP410" i="1"/>
  <c r="BQ410" i="1" s="1"/>
  <c r="BR410" i="1" s="1"/>
  <c r="BP218" i="1"/>
  <c r="BQ218" i="1" s="1"/>
  <c r="BR218" i="1" s="1"/>
  <c r="BP127" i="1"/>
  <c r="BQ127" i="1" s="1"/>
  <c r="BR127" i="1" s="1"/>
  <c r="BP278" i="1"/>
  <c r="BQ278" i="1" s="1"/>
  <c r="BR278" i="1" s="1"/>
  <c r="BP8" i="1"/>
  <c r="BQ8" i="1" s="1"/>
  <c r="BR8" i="1" s="1"/>
  <c r="BO212" i="1"/>
  <c r="BQ212" i="1" s="1"/>
  <c r="BR212" i="1" s="1"/>
  <c r="BP83" i="1"/>
  <c r="BQ83" i="1" s="1"/>
  <c r="BR83" i="1" s="1"/>
  <c r="BP94" i="1"/>
  <c r="BQ94" i="1" s="1"/>
  <c r="BR94" i="1" s="1"/>
  <c r="BP132" i="1"/>
  <c r="BQ132" i="1" s="1"/>
  <c r="BR132" i="1" s="1"/>
  <c r="BP309" i="1"/>
  <c r="BQ309" i="1" s="1"/>
  <c r="BR309" i="1" s="1"/>
  <c r="BP289" i="1"/>
  <c r="BQ289" i="1" s="1"/>
  <c r="BR289" i="1" s="1"/>
  <c r="BO113" i="1"/>
  <c r="BQ113" i="1" s="1"/>
  <c r="BR113" i="1" s="1"/>
  <c r="BO18" i="1"/>
  <c r="BQ18" i="1" s="1"/>
  <c r="BR18" i="1" s="1"/>
  <c r="BO124" i="1"/>
  <c r="BQ124" i="1" s="1"/>
  <c r="BR124" i="1" s="1"/>
  <c r="BP76" i="1"/>
  <c r="BQ76" i="1" s="1"/>
  <c r="BR76" i="1" s="1"/>
  <c r="BP64" i="1"/>
  <c r="BQ64" i="1" s="1"/>
  <c r="BR64" i="1" s="1"/>
  <c r="BP334" i="1"/>
  <c r="BQ334" i="1" s="1"/>
  <c r="BR334" i="1" s="1"/>
  <c r="BP331" i="1"/>
  <c r="BQ331" i="1" s="1"/>
  <c r="BR331" i="1" s="1"/>
  <c r="BP404" i="1"/>
  <c r="BQ404" i="1" s="1"/>
  <c r="BR404" i="1" s="1"/>
  <c r="BP89" i="1"/>
  <c r="BQ89" i="1" s="1"/>
  <c r="BR89" i="1" s="1"/>
  <c r="BP53" i="1"/>
  <c r="BQ53" i="1" s="1"/>
  <c r="BR53" i="1" s="1"/>
  <c r="BO69" i="1"/>
  <c r="BQ69" i="1" s="1"/>
  <c r="BR69" i="1" s="1"/>
  <c r="BO98" i="1"/>
  <c r="BQ98" i="1" s="1"/>
  <c r="BR98" i="1" s="1"/>
  <c r="BP114" i="1"/>
  <c r="BQ114" i="1" s="1"/>
  <c r="BR114" i="1" s="1"/>
  <c r="BP381" i="1"/>
  <c r="BQ381" i="1" s="1"/>
  <c r="BR381" i="1" s="1"/>
  <c r="BP270" i="1"/>
  <c r="BQ270" i="1" s="1"/>
  <c r="BR270" i="1" s="1"/>
  <c r="BP56" i="1"/>
  <c r="BQ56" i="1" s="1"/>
  <c r="BR56" i="1" s="1"/>
  <c r="BP303" i="1"/>
  <c r="BQ303" i="1" s="1"/>
  <c r="BR303" i="1" s="1"/>
  <c r="BP286" i="1"/>
  <c r="BQ286" i="1" s="1"/>
  <c r="BR286" i="1" s="1"/>
  <c r="BP182" i="1"/>
  <c r="BQ182" i="1" s="1"/>
  <c r="BR182" i="1" s="1"/>
  <c r="BO315" i="1"/>
  <c r="BQ315" i="1" s="1"/>
  <c r="BR315" i="1" s="1"/>
  <c r="BO400" i="1"/>
  <c r="BQ400" i="1" s="1"/>
  <c r="BR400" i="1" s="1"/>
  <c r="BP261" i="1"/>
  <c r="BQ261" i="1" s="1"/>
  <c r="BR261" i="1" s="1"/>
  <c r="BO200" i="1"/>
  <c r="BQ200" i="1" s="1"/>
  <c r="BR200" i="1" s="1"/>
  <c r="BP380" i="1"/>
  <c r="BQ380" i="1" s="1"/>
  <c r="BR380" i="1" s="1"/>
  <c r="BP215" i="1"/>
  <c r="BQ215" i="1" s="1"/>
  <c r="BR215" i="1" s="1"/>
  <c r="BP204" i="1"/>
  <c r="BQ204" i="1" s="1"/>
  <c r="BR204" i="1" s="1"/>
  <c r="BO57" i="1"/>
  <c r="BQ57" i="1" s="1"/>
  <c r="BR57" i="1" s="1"/>
  <c r="BP46" i="1"/>
  <c r="BQ46" i="1" s="1"/>
  <c r="BR46" i="1" s="1"/>
  <c r="BP385" i="1"/>
  <c r="BQ385" i="1" s="1"/>
  <c r="BR385" i="1" s="1"/>
  <c r="BP164" i="1"/>
  <c r="BQ164" i="1" s="1"/>
  <c r="BR164" i="1" s="1"/>
  <c r="BP48" i="1"/>
  <c r="BQ48" i="1" s="1"/>
  <c r="BR48" i="1" s="1"/>
  <c r="BP61" i="1"/>
  <c r="BQ61" i="1" s="1"/>
  <c r="BR61" i="1" s="1"/>
  <c r="BP365" i="1"/>
  <c r="BQ365" i="1" s="1"/>
  <c r="BR365" i="1" s="1"/>
  <c r="BO174" i="1"/>
  <c r="BQ174" i="1" s="1"/>
  <c r="BR174" i="1" s="1"/>
  <c r="BP271" i="1"/>
  <c r="BQ271" i="1" s="1"/>
  <c r="BR271" i="1" s="1"/>
  <c r="BO30" i="1"/>
  <c r="BQ30" i="1" s="1"/>
  <c r="BR30" i="1" s="1"/>
  <c r="BO208" i="1"/>
  <c r="BQ208" i="1" s="1"/>
  <c r="BR208" i="1" s="1"/>
  <c r="BP65" i="1"/>
  <c r="BQ65" i="1" s="1"/>
  <c r="BR65" i="1" s="1"/>
  <c r="BP92" i="1"/>
  <c r="BQ92" i="1" s="1"/>
  <c r="BR92" i="1" s="1"/>
  <c r="BP377" i="1"/>
  <c r="BQ377" i="1" s="1"/>
  <c r="BR377" i="1" s="1"/>
  <c r="BP366" i="1"/>
  <c r="BQ366" i="1" s="1"/>
  <c r="BR366" i="1" s="1"/>
  <c r="BP284" i="1"/>
  <c r="BQ284" i="1" s="1"/>
  <c r="BR284" i="1" s="1"/>
  <c r="BP180" i="1"/>
  <c r="BQ180" i="1" s="1"/>
  <c r="BR180" i="1" s="1"/>
  <c r="BP169" i="1"/>
  <c r="BQ169" i="1" s="1"/>
  <c r="BR169" i="1" s="1"/>
  <c r="BP288" i="1"/>
  <c r="BQ288" i="1" s="1"/>
  <c r="BR288" i="1" s="1"/>
  <c r="BP45" i="1"/>
  <c r="BQ45" i="1" s="1"/>
  <c r="BR45" i="1" s="1"/>
  <c r="BO388" i="1"/>
  <c r="BQ388" i="1" s="1"/>
  <c r="BR388" i="1" s="1"/>
  <c r="BO82" i="1"/>
  <c r="BQ82" i="1" s="1"/>
  <c r="BR82" i="1" s="1"/>
  <c r="BO28" i="1"/>
  <c r="BQ28" i="1" s="1"/>
  <c r="BR28" i="1" s="1"/>
  <c r="BP135" i="1"/>
  <c r="BQ135" i="1" s="1"/>
  <c r="BR135" i="1" s="1"/>
  <c r="BP323" i="1"/>
  <c r="BQ323" i="1" s="1"/>
  <c r="BR323" i="1" s="1"/>
  <c r="BP116" i="1"/>
  <c r="BQ116" i="1" s="1"/>
  <c r="BR116" i="1" s="1"/>
  <c r="BP19" i="1"/>
  <c r="BQ19" i="1" s="1"/>
  <c r="BR19" i="1" s="1"/>
  <c r="BP24" i="1"/>
  <c r="BQ24" i="1" s="1"/>
  <c r="BR24" i="1" s="1"/>
  <c r="BO128" i="1"/>
  <c r="BQ128" i="1" s="1"/>
  <c r="BR128" i="1" s="1"/>
  <c r="BP96" i="1"/>
  <c r="BQ96" i="1" s="1"/>
  <c r="BR96" i="1" s="1"/>
  <c r="BP229" i="1"/>
  <c r="BQ229" i="1" s="1"/>
  <c r="BR229" i="1" s="1"/>
  <c r="BP15" i="1"/>
  <c r="BQ15" i="1" s="1"/>
  <c r="BR15" i="1" s="1"/>
  <c r="BP230" i="1"/>
  <c r="BQ230" i="1" s="1"/>
  <c r="BR230" i="1" s="1"/>
  <c r="BP136" i="1"/>
  <c r="BQ136" i="1" s="1"/>
  <c r="BR136" i="1" s="1"/>
  <c r="BP369" i="1"/>
  <c r="BQ369" i="1" s="1"/>
  <c r="BR369" i="1" s="1"/>
  <c r="BP354" i="1"/>
  <c r="BQ354" i="1" s="1"/>
  <c r="BR354" i="1" s="1"/>
  <c r="BP339" i="1"/>
  <c r="BQ339" i="1" s="1"/>
  <c r="BR339" i="1" s="1"/>
  <c r="BP183" i="1"/>
  <c r="BQ183" i="1" s="1"/>
  <c r="BR183" i="1" s="1"/>
  <c r="BP176" i="1"/>
  <c r="BQ176" i="1" s="1"/>
  <c r="BR176" i="1" s="1"/>
  <c r="BP283" i="1"/>
  <c r="BQ283" i="1" s="1"/>
  <c r="BR283" i="1" s="1"/>
  <c r="BP393" i="1"/>
  <c r="BQ393" i="1" s="1"/>
  <c r="BR393" i="1" s="1"/>
  <c r="BP384" i="1"/>
  <c r="BQ384" i="1" s="1"/>
  <c r="BR384" i="1" s="1"/>
  <c r="BO49" i="1"/>
  <c r="BQ49" i="1" s="1"/>
  <c r="BR49" i="1" s="1"/>
  <c r="BO216" i="1"/>
  <c r="BQ216" i="1" s="1"/>
  <c r="BR216" i="1" s="1"/>
  <c r="BP60" i="1"/>
  <c r="BQ60" i="1" s="1"/>
  <c r="BR60" i="1" s="1"/>
  <c r="BO263" i="1"/>
  <c r="BQ263" i="1" s="1"/>
  <c r="BR263" i="1" s="1"/>
  <c r="BO244" i="1"/>
  <c r="BQ244" i="1" s="1"/>
  <c r="BR244" i="1" s="1"/>
  <c r="BP231" i="1"/>
  <c r="BQ231" i="1" s="1"/>
  <c r="BR231" i="1" s="1"/>
  <c r="BO137" i="1"/>
  <c r="BQ137" i="1" s="1"/>
  <c r="BR137" i="1" s="1"/>
  <c r="BP139" i="1"/>
  <c r="BQ139" i="1" s="1"/>
  <c r="BR139" i="1" s="1"/>
  <c r="BP117" i="1"/>
  <c r="BQ117" i="1" s="1"/>
  <c r="BR117" i="1" s="1"/>
  <c r="BO125" i="1"/>
  <c r="BQ125" i="1" s="1"/>
  <c r="BR125" i="1" s="1"/>
  <c r="BP253" i="1"/>
  <c r="BQ253" i="1" s="1"/>
  <c r="BR253" i="1" s="1"/>
  <c r="BO177" i="1"/>
  <c r="BQ177" i="1" s="1"/>
  <c r="BR177" i="1" s="1"/>
  <c r="BO5" i="1"/>
  <c r="BQ5" i="1" s="1"/>
  <c r="BR5" i="1" s="1"/>
  <c r="BP211" i="1"/>
  <c r="BQ211" i="1" s="1"/>
  <c r="BR211" i="1" s="1"/>
  <c r="BO214" i="1"/>
  <c r="BQ214" i="1" s="1"/>
  <c r="BR214" i="1" s="1"/>
  <c r="BO7" i="1"/>
  <c r="BQ7" i="1" s="1"/>
  <c r="BR7" i="1" s="1"/>
  <c r="BO123" i="1"/>
  <c r="BQ123" i="1" s="1"/>
  <c r="BR123" i="1" s="1"/>
  <c r="BP115" i="1"/>
  <c r="BQ115" i="1" s="1"/>
  <c r="BR115" i="1" s="1"/>
  <c r="BP254" i="1"/>
  <c r="BQ254" i="1" s="1"/>
  <c r="BR254" i="1" s="1"/>
  <c r="BO223" i="1"/>
  <c r="BQ223" i="1" s="1"/>
  <c r="BR223" i="1" s="1"/>
  <c r="BO59" i="1"/>
  <c r="BQ59" i="1" s="1"/>
  <c r="BR59" i="1" s="1"/>
  <c r="BP97" i="1"/>
  <c r="BO97" i="1"/>
  <c r="BO155" i="1"/>
  <c r="BO88" i="1"/>
  <c r="BQ88" i="1" s="1"/>
  <c r="BR88" i="1" s="1"/>
  <c r="BP140" i="1"/>
  <c r="BQ140" i="1" s="1"/>
  <c r="BR140" i="1" s="1"/>
  <c r="BP179" i="1"/>
  <c r="BQ179" i="1" s="1"/>
  <c r="BR179" i="1" s="1"/>
  <c r="BP155" i="1"/>
  <c r="BP103" i="1"/>
  <c r="BQ103" i="1" s="1"/>
  <c r="BR103" i="1" s="1"/>
  <c r="BP146" i="1"/>
  <c r="BQ146" i="1" s="1"/>
  <c r="BR146" i="1" s="1"/>
  <c r="BO268" i="1"/>
  <c r="BQ268" i="1" s="1"/>
  <c r="BR268" i="1" s="1"/>
  <c r="BO63" i="1"/>
  <c r="BQ63" i="1" s="1"/>
  <c r="BR63" i="1" s="1"/>
  <c r="BO185" i="1"/>
  <c r="BP185" i="1"/>
  <c r="BO292" i="1"/>
  <c r="BP292" i="1"/>
  <c r="BP345" i="1"/>
  <c r="BQ345" i="1" s="1"/>
  <c r="BR345" i="1" s="1"/>
  <c r="BO228" i="1"/>
  <c r="BP228" i="1"/>
  <c r="BP178" i="1"/>
  <c r="BO178" i="1"/>
  <c r="BO304" i="1"/>
  <c r="BP304" i="1"/>
  <c r="BO319" i="1"/>
  <c r="BP319" i="1"/>
  <c r="BO389" i="1"/>
  <c r="BP389" i="1"/>
  <c r="BO77" i="1"/>
  <c r="BP77" i="1"/>
  <c r="BP312" i="1"/>
  <c r="BQ312" i="1" s="1"/>
  <c r="BR312" i="1" s="1"/>
  <c r="BO213" i="1"/>
  <c r="BP213" i="1"/>
  <c r="BO175" i="1"/>
  <c r="BP175" i="1"/>
  <c r="BO297" i="1"/>
  <c r="BQ297" i="1" s="1"/>
  <c r="BR297" i="1" s="1"/>
  <c r="BP327" i="1"/>
  <c r="BQ327" i="1" s="1"/>
  <c r="BR327" i="1" s="1"/>
  <c r="BO411" i="1"/>
  <c r="BQ411" i="1" s="1"/>
  <c r="BR411" i="1" s="1"/>
  <c r="BO194" i="1"/>
  <c r="BP194" i="1"/>
  <c r="BP150" i="1"/>
  <c r="BQ150" i="1" s="1"/>
  <c r="BR150" i="1" s="1"/>
  <c r="BP72" i="1"/>
  <c r="BQ72" i="1" s="1"/>
  <c r="BR72" i="1" s="1"/>
  <c r="BP172" i="1"/>
  <c r="BQ172" i="1" s="1"/>
  <c r="BR172" i="1" s="1"/>
  <c r="BP341" i="1"/>
  <c r="BQ341" i="1" s="1"/>
  <c r="BR341" i="1" s="1"/>
  <c r="BO371" i="1"/>
  <c r="BQ371" i="1" s="1"/>
  <c r="BR371" i="1" s="1"/>
  <c r="BO126" i="1"/>
  <c r="BQ126" i="1" s="1"/>
  <c r="BR126" i="1" s="1"/>
  <c r="BO85" i="1"/>
  <c r="BP85" i="1"/>
  <c r="BO224" i="1"/>
  <c r="BQ224" i="1" s="1"/>
  <c r="BR224" i="1" s="1"/>
  <c r="BP55" i="1"/>
  <c r="BO55" i="1"/>
  <c r="BO272" i="1"/>
  <c r="BQ272" i="1" s="1"/>
  <c r="BR272" i="1" s="1"/>
  <c r="BO198" i="1"/>
  <c r="BQ198" i="1" s="1"/>
  <c r="BR198" i="1" s="1"/>
  <c r="BO290" i="1"/>
  <c r="BP290" i="1"/>
  <c r="BP328" i="1"/>
  <c r="BO328" i="1"/>
  <c r="BO335" i="1"/>
  <c r="BQ335" i="1" s="1"/>
  <c r="BR335" i="1" s="1"/>
  <c r="BO338" i="1"/>
  <c r="BQ338" i="1" s="1"/>
  <c r="BR338" i="1" s="1"/>
  <c r="BO349" i="1"/>
  <c r="BP349" i="1"/>
  <c r="BO364" i="1"/>
  <c r="BP364" i="1"/>
  <c r="BO379" i="1"/>
  <c r="BQ379" i="1" s="1"/>
  <c r="BR379" i="1" s="1"/>
  <c r="BO375" i="1"/>
  <c r="BP375" i="1"/>
  <c r="BP423" i="1"/>
  <c r="BQ423" i="1" s="1"/>
  <c r="BR423" i="1" s="1"/>
  <c r="BP205" i="1"/>
  <c r="BQ205" i="1" s="1"/>
  <c r="BR205" i="1" s="1"/>
  <c r="BP360" i="1"/>
  <c r="BQ360" i="1" s="1"/>
  <c r="BR360" i="1" s="1"/>
  <c r="BO91" i="1"/>
  <c r="BP91" i="1"/>
  <c r="BO376" i="1"/>
  <c r="BP376" i="1"/>
  <c r="BO395" i="1"/>
  <c r="BQ395" i="1" s="1"/>
  <c r="BR395" i="1" s="1"/>
  <c r="BP151" i="1"/>
  <c r="BQ151" i="1" s="1"/>
  <c r="BR151" i="1" s="1"/>
  <c r="BP415" i="1"/>
  <c r="BQ415" i="1" s="1"/>
  <c r="BR415" i="1" s="1"/>
  <c r="BP147" i="1"/>
  <c r="BQ147" i="1" s="1"/>
  <c r="BR147" i="1" s="1"/>
  <c r="BP316" i="1"/>
  <c r="BQ316" i="1" s="1"/>
  <c r="BR316" i="1" s="1"/>
  <c r="BP10" i="1"/>
  <c r="BQ10" i="1" s="1"/>
  <c r="BR10" i="1" s="1"/>
  <c r="BO222" i="1"/>
  <c r="BQ222" i="1" s="1"/>
  <c r="BR222" i="1" s="1"/>
  <c r="BO166" i="1"/>
  <c r="BQ166" i="1" s="1"/>
  <c r="BR166" i="1" s="1"/>
  <c r="BO184" i="1"/>
  <c r="BP184" i="1"/>
  <c r="BP295" i="1"/>
  <c r="BO295" i="1"/>
  <c r="BP402" i="1"/>
  <c r="BO402" i="1"/>
  <c r="BO66" i="1"/>
  <c r="BP66" i="1"/>
  <c r="BO274" i="1"/>
  <c r="BP274" i="1"/>
  <c r="BO307" i="1"/>
  <c r="BP307" i="1"/>
  <c r="BP238" i="1"/>
  <c r="BQ238" i="1" s="1"/>
  <c r="BR238" i="1" s="1"/>
  <c r="BO120" i="1"/>
  <c r="BQ120" i="1" s="1"/>
  <c r="BR120" i="1" s="1"/>
  <c r="BP239" i="1"/>
  <c r="BQ239" i="1" s="1"/>
  <c r="BR239" i="1" s="1"/>
  <c r="BO70" i="1"/>
  <c r="BP250" i="1"/>
  <c r="BO250" i="1"/>
  <c r="BO79" i="1"/>
  <c r="BQ79" i="1" s="1"/>
  <c r="BR79" i="1" s="1"/>
  <c r="BO282" i="1"/>
  <c r="BP282" i="1"/>
  <c r="BP138" i="1"/>
  <c r="BQ138" i="1" s="1"/>
  <c r="BR138" i="1" s="1"/>
  <c r="BO248" i="1"/>
  <c r="BQ248" i="1" s="1"/>
  <c r="BR248" i="1" s="1"/>
  <c r="BP105" i="1"/>
  <c r="BQ105" i="1" s="1"/>
  <c r="BR105" i="1" s="1"/>
  <c r="BP86" i="1"/>
  <c r="BQ86" i="1" s="1"/>
  <c r="BR86" i="1" s="1"/>
  <c r="BP298" i="1"/>
  <c r="BQ298" i="1" s="1"/>
  <c r="BR298" i="1" s="1"/>
  <c r="BP167" i="1"/>
  <c r="BQ167" i="1" s="1"/>
  <c r="BR167" i="1" s="1"/>
  <c r="BP305" i="1"/>
  <c r="BQ305" i="1" s="1"/>
  <c r="BR305" i="1" s="1"/>
  <c r="BO58" i="1"/>
  <c r="BQ58" i="1" s="1"/>
  <c r="BR58" i="1" s="1"/>
  <c r="BO220" i="1"/>
  <c r="BQ220" i="1" s="1"/>
  <c r="BR220" i="1" s="1"/>
  <c r="BP202" i="1"/>
  <c r="BO202" i="1"/>
  <c r="BO101" i="1"/>
  <c r="BQ101" i="1" s="1"/>
  <c r="BR101" i="1" s="1"/>
  <c r="BO187" i="1"/>
  <c r="BP187" i="1"/>
  <c r="BP157" i="1"/>
  <c r="BO157" i="1"/>
  <c r="BO16" i="1"/>
  <c r="BP16" i="1"/>
  <c r="BR356" i="1"/>
  <c r="BO419" i="1"/>
  <c r="BP419" i="1"/>
  <c r="BO287" i="1"/>
  <c r="BQ287" i="1" s="1"/>
  <c r="BR287" i="1" s="1"/>
  <c r="BO405" i="1"/>
  <c r="BP405" i="1"/>
  <c r="BQ412" i="1"/>
  <c r="BR412" i="1" s="1"/>
  <c r="BP144" i="1"/>
  <c r="BQ144" i="1" s="1"/>
  <c r="BR144" i="1" s="1"/>
  <c r="BP207" i="1"/>
  <c r="BQ207" i="1" s="1"/>
  <c r="BR207" i="1" s="1"/>
  <c r="BO199" i="1"/>
  <c r="BP199" i="1"/>
  <c r="BP313" i="1"/>
  <c r="BO313" i="1"/>
  <c r="BO317" i="1"/>
  <c r="BP317" i="1"/>
  <c r="BO321" i="1"/>
  <c r="BP321" i="1"/>
  <c r="BP161" i="1"/>
  <c r="BQ161" i="1" s="1"/>
  <c r="BR161" i="1" s="1"/>
  <c r="BP68" i="1"/>
  <c r="BQ68" i="1" s="1"/>
  <c r="BR68" i="1" s="1"/>
  <c r="BP70" i="1"/>
  <c r="BP188" i="1"/>
  <c r="BQ188" i="1" s="1"/>
  <c r="BR188" i="1" s="1"/>
  <c r="BP252" i="1"/>
  <c r="BQ252" i="1" s="1"/>
  <c r="BR252" i="1" s="1"/>
  <c r="BP279" i="1"/>
  <c r="BQ279" i="1" s="1"/>
  <c r="BR279" i="1" s="1"/>
  <c r="BO14" i="1"/>
  <c r="BP14" i="1"/>
  <c r="BO145" i="1"/>
  <c r="BQ145" i="1" s="1"/>
  <c r="BR145" i="1" s="1"/>
  <c r="BO165" i="1"/>
  <c r="BP165" i="1"/>
  <c r="BP310" i="1"/>
  <c r="BO310" i="1"/>
  <c r="BO325" i="1"/>
  <c r="BP325" i="1"/>
  <c r="BP396" i="1"/>
  <c r="BQ396" i="1" s="1"/>
  <c r="BR396" i="1" s="1"/>
  <c r="BO11" i="1"/>
  <c r="BP11" i="1"/>
  <c r="BP131" i="1"/>
  <c r="BQ131" i="1" s="1"/>
  <c r="BR131" i="1" s="1"/>
  <c r="BO296" i="1"/>
  <c r="BP296" i="1"/>
  <c r="BO318" i="1"/>
  <c r="BP318" i="1"/>
  <c r="BP362" i="1"/>
  <c r="BQ362" i="1" s="1"/>
  <c r="BR362" i="1" s="1"/>
  <c r="BP281" i="1"/>
  <c r="BQ281" i="1" s="1"/>
  <c r="BR281" i="1" s="1"/>
  <c r="BP152" i="1"/>
  <c r="BQ152" i="1" s="1"/>
  <c r="BR152" i="1" s="1"/>
  <c r="BP47" i="1"/>
  <c r="BO47" i="1"/>
  <c r="BO54" i="1"/>
  <c r="BQ54" i="1" s="1"/>
  <c r="BR54" i="1" s="1"/>
  <c r="BO173" i="1"/>
  <c r="BP173" i="1"/>
  <c r="BO190" i="1"/>
  <c r="BQ190" i="1" s="1"/>
  <c r="BR190" i="1" s="1"/>
  <c r="BO382" i="1"/>
  <c r="BP382" i="1"/>
  <c r="BO403" i="1"/>
  <c r="BP403" i="1"/>
  <c r="BP346" i="1"/>
  <c r="BQ346" i="1" s="1"/>
  <c r="BR346" i="1" s="1"/>
  <c r="BP406" i="1"/>
  <c r="BQ406" i="1" s="1"/>
  <c r="BR406" i="1" s="1"/>
  <c r="BP333" i="1"/>
  <c r="BQ333" i="1" s="1"/>
  <c r="BR333" i="1" s="1"/>
  <c r="BP320" i="1"/>
  <c r="BQ320" i="1" s="1"/>
  <c r="BR320" i="1" s="1"/>
  <c r="BO247" i="1"/>
  <c r="BP247" i="1"/>
  <c r="BP277" i="1"/>
  <c r="BO277" i="1"/>
  <c r="BP257" i="1"/>
  <c r="BO257" i="1"/>
  <c r="BO4" i="1"/>
  <c r="BQ4" i="1" s="1"/>
  <c r="BR4" i="1" s="1"/>
  <c r="BO227" i="1"/>
  <c r="BQ227" i="1" s="1"/>
  <c r="BR227" i="1" s="1"/>
  <c r="BO110" i="1"/>
  <c r="BQ110" i="1" s="1"/>
  <c r="BR110" i="1" s="1"/>
  <c r="BP112" i="1"/>
  <c r="BQ112" i="1" s="1"/>
  <c r="BR112" i="1" s="1"/>
  <c r="BO25" i="1"/>
  <c r="BQ25" i="1" s="1"/>
  <c r="BR25" i="1" s="1"/>
  <c r="BP226" i="1"/>
  <c r="BQ226" i="1" s="1"/>
  <c r="BR226" i="1" s="1"/>
  <c r="BO276" i="1"/>
  <c r="BQ276" i="1" s="1"/>
  <c r="BR276" i="1" s="1"/>
  <c r="BO408" i="1"/>
  <c r="BP408" i="1"/>
  <c r="BP245" i="1"/>
  <c r="BO245" i="1"/>
  <c r="BO302" i="1"/>
  <c r="BP302" i="1"/>
  <c r="BP71" i="1"/>
  <c r="BO71" i="1"/>
  <c r="BP210" i="1"/>
  <c r="BO210" i="1"/>
  <c r="BP81" i="1"/>
  <c r="BO81" i="1"/>
  <c r="BP148" i="1"/>
  <c r="BO148" i="1"/>
  <c r="BO134" i="1"/>
  <c r="BQ134" i="1" s="1"/>
  <c r="BR134" i="1" s="1"/>
  <c r="BP142" i="1"/>
  <c r="BQ142" i="1" s="1"/>
  <c r="BR142" i="1" s="1"/>
  <c r="BO255" i="1"/>
  <c r="BP255" i="1"/>
  <c r="BP80" i="1"/>
  <c r="BO100" i="1"/>
  <c r="BQ100" i="1" s="1"/>
  <c r="BR100" i="1" s="1"/>
  <c r="BO95" i="1"/>
  <c r="BQ95" i="1" s="1"/>
  <c r="BR95" i="1" s="1"/>
  <c r="BO221" i="1"/>
  <c r="BQ221" i="1" s="1"/>
  <c r="BR221" i="1" s="1"/>
  <c r="BO67" i="1"/>
  <c r="BQ67" i="1" s="1"/>
  <c r="BR67" i="1" s="1"/>
  <c r="BP143" i="1"/>
  <c r="BO143" i="1"/>
  <c r="BO206" i="1"/>
  <c r="BP206" i="1"/>
  <c r="BO344" i="1"/>
  <c r="BP344" i="1"/>
  <c r="BO80" i="1"/>
  <c r="BO159" i="1"/>
  <c r="BP159" i="1"/>
  <c r="BO118" i="1"/>
  <c r="BQ118" i="1" s="1"/>
  <c r="BR118" i="1" s="1"/>
  <c r="BP219" i="1"/>
  <c r="BO219" i="1"/>
  <c r="BO17" i="1"/>
  <c r="BQ17" i="1" s="1"/>
  <c r="BR17" i="1" s="1"/>
  <c r="BO308" i="1"/>
  <c r="BP308" i="1"/>
  <c r="BO358" i="1"/>
  <c r="BQ358" i="1" s="1"/>
  <c r="BR358" i="1" s="1"/>
  <c r="BO275" i="1"/>
  <c r="BQ275" i="1" s="1"/>
  <c r="BR275" i="1" s="1"/>
  <c r="BO300" i="1"/>
  <c r="BQ300" i="1" s="1"/>
  <c r="BR300" i="1" s="1"/>
  <c r="BO311" i="1"/>
  <c r="BQ311" i="1" s="1"/>
  <c r="BR311" i="1" s="1"/>
  <c r="BP225" i="1"/>
  <c r="BQ225" i="1" s="1"/>
  <c r="BR225" i="1" s="1"/>
  <c r="BP62" i="1"/>
  <c r="BQ62" i="1" s="1"/>
  <c r="BR62" i="1" s="1"/>
  <c r="BP50" i="1"/>
  <c r="BQ50" i="1" s="1"/>
  <c r="BR50" i="1" s="1"/>
  <c r="BO217" i="1"/>
  <c r="BQ217" i="1" s="1"/>
  <c r="BR217" i="1" s="1"/>
  <c r="BP51" i="1"/>
  <c r="BQ51" i="1" s="1"/>
  <c r="BR51" i="1" s="1"/>
  <c r="BP6" i="1"/>
  <c r="BO6" i="1"/>
  <c r="BP242" i="1"/>
  <c r="BQ242" i="1" s="1"/>
  <c r="BR242" i="1" s="1"/>
  <c r="BO237" i="1"/>
  <c r="BQ237" i="1" s="1"/>
  <c r="BR237" i="1" s="1"/>
  <c r="BP265" i="1"/>
  <c r="BO265" i="1"/>
  <c r="BP232" i="1"/>
  <c r="BO232" i="1"/>
  <c r="BP121" i="1"/>
  <c r="BQ121" i="1" s="1"/>
  <c r="BR121" i="1" s="1"/>
  <c r="BO122" i="1"/>
  <c r="BQ122" i="1" s="1"/>
  <c r="BR122" i="1" s="1"/>
  <c r="BP109" i="1"/>
  <c r="BQ109" i="1" s="1"/>
  <c r="BR109" i="1" s="1"/>
  <c r="BO234" i="1"/>
  <c r="BQ234" i="1" s="1"/>
  <c r="BR234" i="1" s="1"/>
  <c r="BP44" i="1"/>
  <c r="BQ44" i="1" s="1"/>
  <c r="BR44" i="1" s="1"/>
  <c r="BO130" i="1"/>
  <c r="BQ130" i="1" s="1"/>
  <c r="BR130" i="1" s="1"/>
  <c r="BO240" i="1"/>
  <c r="BQ240" i="1" s="1"/>
  <c r="BR240" i="1" s="1"/>
  <c r="BO236" i="1"/>
  <c r="BQ236" i="1" s="1"/>
  <c r="BR236" i="1" s="1"/>
  <c r="BP23" i="1"/>
  <c r="BQ23" i="1" s="1"/>
  <c r="BR23" i="1" s="1"/>
  <c r="AV125" i="1" l="1"/>
  <c r="AW125" i="1" s="1"/>
  <c r="BB125" i="1" s="1"/>
  <c r="AV207" i="1"/>
  <c r="AW207" i="1" s="1"/>
  <c r="BB207" i="1" s="1"/>
  <c r="AV78" i="1"/>
  <c r="AW78" i="1" s="1"/>
  <c r="AV10" i="1"/>
  <c r="AW10" i="1" s="1"/>
  <c r="BB10" i="1" s="1"/>
  <c r="AV208" i="1"/>
  <c r="AW208" i="1" s="1"/>
  <c r="BB208" i="1" s="1"/>
  <c r="AV83" i="1"/>
  <c r="AW83" i="1" s="1"/>
  <c r="BB83" i="1" s="1"/>
  <c r="AV143" i="1"/>
  <c r="AW143" i="1" s="1"/>
  <c r="AV220" i="1"/>
  <c r="AW220" i="1" s="1"/>
  <c r="BB220" i="1" s="1"/>
  <c r="AV214" i="1"/>
  <c r="AW214" i="1" s="1"/>
  <c r="BB214" i="1" s="1"/>
  <c r="AV74" i="1"/>
  <c r="AW74" i="1" s="1"/>
  <c r="BB74" i="1" s="1"/>
  <c r="AV29" i="1"/>
  <c r="AW29" i="1" s="1"/>
  <c r="BB29" i="1" s="1"/>
  <c r="AV85" i="1"/>
  <c r="AW85" i="1" s="1"/>
  <c r="BB85" i="1" s="1"/>
  <c r="AV134" i="1"/>
  <c r="AW134" i="1" s="1"/>
  <c r="BB134" i="1" s="1"/>
  <c r="AV76" i="1"/>
  <c r="AW76" i="1" s="1"/>
  <c r="BB76" i="1" s="1"/>
  <c r="AV133" i="1"/>
  <c r="AW133" i="1" s="1"/>
  <c r="AV71" i="1"/>
  <c r="AW71" i="1" s="1"/>
  <c r="BB71" i="1" s="1"/>
  <c r="AV212" i="1"/>
  <c r="AW212" i="1" s="1"/>
  <c r="BB212" i="1" s="1"/>
  <c r="AV47" i="1"/>
  <c r="AW47" i="1" s="1"/>
  <c r="BB47" i="1" s="1"/>
  <c r="AV84" i="1"/>
  <c r="AW84" i="1" s="1"/>
  <c r="BB84" i="1" s="1"/>
  <c r="AV221" i="1"/>
  <c r="AW221" i="1" s="1"/>
  <c r="BB221" i="1" s="1"/>
  <c r="AV55" i="1"/>
  <c r="AW55" i="1" s="1"/>
  <c r="BB55" i="1" s="1"/>
  <c r="AV97" i="1"/>
  <c r="AW97" i="1" s="1"/>
  <c r="BB97" i="1" s="1"/>
  <c r="AV153" i="1"/>
  <c r="AW153" i="1" s="1"/>
  <c r="AV249" i="1"/>
  <c r="AW249" i="1" s="1"/>
  <c r="BB249" i="1" s="1"/>
  <c r="AV158" i="1"/>
  <c r="AW158" i="1" s="1"/>
  <c r="BB158" i="1" s="1"/>
  <c r="AV75" i="1"/>
  <c r="AW75" i="1" s="1"/>
  <c r="BB75" i="1" s="1"/>
  <c r="AV148" i="1"/>
  <c r="AW148" i="1" s="1"/>
  <c r="BB148" i="1" s="1"/>
  <c r="AV203" i="1"/>
  <c r="AW203" i="1" s="1"/>
  <c r="BB203" i="1" s="1"/>
  <c r="AV96" i="1"/>
  <c r="AW96" i="1" s="1"/>
  <c r="BB96" i="1" s="1"/>
  <c r="AV152" i="1"/>
  <c r="AW152" i="1" s="1"/>
  <c r="BB152" i="1" s="1"/>
  <c r="AV63" i="1"/>
  <c r="AW63" i="1" s="1"/>
  <c r="BB63" i="1" s="1"/>
  <c r="AV136" i="1"/>
  <c r="AW136" i="1" s="1"/>
  <c r="BB136" i="1" s="1"/>
  <c r="AV46" i="1"/>
  <c r="AW46" i="1" s="1"/>
  <c r="BB46" i="1" s="1"/>
  <c r="AV204" i="1"/>
  <c r="AW204" i="1" s="1"/>
  <c r="BB204" i="1" s="1"/>
  <c r="AV252" i="1"/>
  <c r="AW252" i="1" s="1"/>
  <c r="BB252" i="1" s="1"/>
  <c r="AV100" i="1"/>
  <c r="AW100" i="1" s="1"/>
  <c r="BB100" i="1" s="1"/>
  <c r="AV82" i="1"/>
  <c r="AW82" i="1" s="1"/>
  <c r="BB82" i="1" s="1"/>
  <c r="AV219" i="1"/>
  <c r="AW219" i="1" s="1"/>
  <c r="BB219" i="1" s="1"/>
  <c r="AV54" i="1"/>
  <c r="AW54" i="1" s="1"/>
  <c r="BB54" i="1" s="1"/>
  <c r="AV17" i="1"/>
  <c r="AW17" i="1" s="1"/>
  <c r="BB17" i="1" s="1"/>
  <c r="AV215" i="1"/>
  <c r="AW215" i="1" s="1"/>
  <c r="BB215" i="1" s="1"/>
  <c r="AV127" i="1"/>
  <c r="AW127" i="1" s="1"/>
  <c r="AV149" i="1"/>
  <c r="AW149" i="1" s="1"/>
  <c r="BB149" i="1" s="1"/>
  <c r="AV225" i="1"/>
  <c r="AW225" i="1" s="1"/>
  <c r="BB225" i="1" s="1"/>
  <c r="AV210" i="1"/>
  <c r="AW210" i="1" s="1"/>
  <c r="BB210" i="1" s="1"/>
  <c r="AV13" i="1"/>
  <c r="AW13" i="1" s="1"/>
  <c r="BB13" i="1" s="1"/>
  <c r="AV95" i="1"/>
  <c r="AW95" i="1" s="1"/>
  <c r="BB95" i="1" s="1"/>
  <c r="AV160" i="1"/>
  <c r="AW160" i="1" s="1"/>
  <c r="BB160" i="1" s="1"/>
  <c r="AV147" i="1"/>
  <c r="AW147" i="1" s="1"/>
  <c r="AV80" i="1"/>
  <c r="AW80" i="1" s="1"/>
  <c r="BB80" i="1" s="1"/>
  <c r="BQ402" i="1"/>
  <c r="BR402" i="1" s="1"/>
  <c r="AV105" i="1"/>
  <c r="AW105" i="1" s="1"/>
  <c r="BB105" i="1" s="1"/>
  <c r="AV53" i="1"/>
  <c r="AW53" i="1" s="1"/>
  <c r="BB53" i="1" s="1"/>
  <c r="AV256" i="1"/>
  <c r="AW256" i="1" s="1"/>
  <c r="BB256" i="1" s="1"/>
  <c r="AV59" i="1"/>
  <c r="AW59" i="1" s="1"/>
  <c r="BB59" i="1" s="1"/>
  <c r="AV104" i="1"/>
  <c r="AW104" i="1" s="1"/>
  <c r="BB104" i="1" s="1"/>
  <c r="AV51" i="1"/>
  <c r="AW51" i="1" s="1"/>
  <c r="BB51" i="1" s="1"/>
  <c r="AV150" i="1"/>
  <c r="AW150" i="1" s="1"/>
  <c r="AV60" i="1"/>
  <c r="AW60" i="1" s="1"/>
  <c r="BB60" i="1" s="1"/>
  <c r="AV266" i="1"/>
  <c r="AW266" i="1" s="1"/>
  <c r="AV268" i="1"/>
  <c r="AW268" i="1" s="1"/>
  <c r="BB268" i="1" s="1"/>
  <c r="AV77" i="1"/>
  <c r="AW77" i="1" s="1"/>
  <c r="BB77" i="1" s="1"/>
  <c r="AV218" i="1"/>
  <c r="AW218" i="1" s="1"/>
  <c r="BB218" i="1" s="1"/>
  <c r="AV151" i="1"/>
  <c r="AW151" i="1" s="1"/>
  <c r="BB151" i="1" s="1"/>
  <c r="AV62" i="1"/>
  <c r="AW62" i="1" s="1"/>
  <c r="BB62" i="1" s="1"/>
  <c r="AV64" i="1"/>
  <c r="AW64" i="1" s="1"/>
  <c r="BB64" i="1" s="1"/>
  <c r="AV222" i="1"/>
  <c r="AW222" i="1" s="1"/>
  <c r="BB222" i="1" s="1"/>
  <c r="AV57" i="1"/>
  <c r="AW57" i="1" s="1"/>
  <c r="BB57" i="1" s="1"/>
  <c r="AV11" i="1"/>
  <c r="AW11" i="1" s="1"/>
  <c r="BB11" i="1" s="1"/>
  <c r="AV205" i="1"/>
  <c r="AW205" i="1" s="1"/>
  <c r="BB205" i="1" s="1"/>
  <c r="AV223" i="1"/>
  <c r="AW223" i="1" s="1"/>
  <c r="BB223" i="1" s="1"/>
  <c r="AV67" i="1"/>
  <c r="AW67" i="1" s="1"/>
  <c r="BB67" i="1" s="1"/>
  <c r="AV132" i="1"/>
  <c r="AW132" i="1" s="1"/>
  <c r="BB132" i="1" s="1"/>
  <c r="AV12" i="1"/>
  <c r="AW12" i="1" s="1"/>
  <c r="BB12" i="1" s="1"/>
  <c r="AV94" i="1"/>
  <c r="AW94" i="1" s="1"/>
  <c r="BB94" i="1" s="1"/>
  <c r="AV61" i="1"/>
  <c r="AW61" i="1" s="1"/>
  <c r="BB61" i="1" s="1"/>
  <c r="AV101" i="1"/>
  <c r="AW101" i="1" s="1"/>
  <c r="BB101" i="1" s="1"/>
  <c r="AV156" i="1"/>
  <c r="AW156" i="1" s="1"/>
  <c r="BB156" i="1" s="1"/>
  <c r="AV65" i="1"/>
  <c r="AW65" i="1" s="1"/>
  <c r="BB65" i="1" s="1"/>
  <c r="AV102" i="1"/>
  <c r="AW102" i="1" s="1"/>
  <c r="BB102" i="1" s="1"/>
  <c r="AV72" i="1"/>
  <c r="AW72" i="1" s="1"/>
  <c r="BB72" i="1" s="1"/>
  <c r="AV103" i="1"/>
  <c r="AW103" i="1" s="1"/>
  <c r="BB103" i="1" s="1"/>
  <c r="AV250" i="1"/>
  <c r="AW250" i="1" s="1"/>
  <c r="BB250" i="1" s="1"/>
  <c r="AV251" i="1"/>
  <c r="AW251" i="1" s="1"/>
  <c r="BB251" i="1" s="1"/>
  <c r="AV217" i="1"/>
  <c r="AW217" i="1" s="1"/>
  <c r="BB217" i="1" s="1"/>
  <c r="AV20" i="1"/>
  <c r="AW20" i="1" s="1"/>
  <c r="BB20" i="1" s="1"/>
  <c r="AV106" i="1"/>
  <c r="AW106" i="1" s="1"/>
  <c r="BB106" i="1" s="1"/>
  <c r="AV211" i="1"/>
  <c r="AW211" i="1" s="1"/>
  <c r="BB211" i="1" s="1"/>
  <c r="AV14" i="1"/>
  <c r="AW14" i="1" s="1"/>
  <c r="BB14" i="1" s="1"/>
  <c r="AV48" i="1"/>
  <c r="AW48" i="1" s="1"/>
  <c r="BB48" i="1" s="1"/>
  <c r="AV73" i="1"/>
  <c r="AW73" i="1" s="1"/>
  <c r="BB73" i="1" s="1"/>
  <c r="AV206" i="1"/>
  <c r="AW206" i="1" s="1"/>
  <c r="BB206" i="1" s="1"/>
  <c r="AV209" i="1"/>
  <c r="AW209" i="1" s="1"/>
  <c r="BB209" i="1" s="1"/>
  <c r="AV114" i="1"/>
  <c r="AW114" i="1" s="1"/>
  <c r="BB114" i="1" s="1"/>
  <c r="AV69" i="1"/>
  <c r="AW69" i="1" s="1"/>
  <c r="BB69" i="1" s="1"/>
  <c r="AV202" i="1"/>
  <c r="AW202" i="1" s="1"/>
  <c r="BB202" i="1" s="1"/>
  <c r="AV70" i="1"/>
  <c r="AW70" i="1" s="1"/>
  <c r="BB70" i="1" s="1"/>
  <c r="AV253" i="1"/>
  <c r="AW253" i="1" s="1"/>
  <c r="BB253" i="1" s="1"/>
  <c r="AV138" i="1"/>
  <c r="AW138" i="1" s="1"/>
  <c r="BB138" i="1" s="1"/>
  <c r="AV255" i="1"/>
  <c r="AW255" i="1" s="1"/>
  <c r="BB255" i="1" s="1"/>
  <c r="AV98" i="1"/>
  <c r="AW98" i="1" s="1"/>
  <c r="BB98" i="1" s="1"/>
  <c r="AV146" i="1"/>
  <c r="AW146" i="1" s="1"/>
  <c r="AV49" i="1"/>
  <c r="AW49" i="1" s="1"/>
  <c r="BB49" i="1" s="1"/>
  <c r="AV58" i="1"/>
  <c r="AW58" i="1" s="1"/>
  <c r="BB58" i="1" s="1"/>
  <c r="AV86" i="1"/>
  <c r="AW86" i="1" s="1"/>
  <c r="BB86" i="1" s="1"/>
  <c r="AV79" i="1"/>
  <c r="AW79" i="1" s="1"/>
  <c r="AV135" i="1"/>
  <c r="AW135" i="1" s="1"/>
  <c r="BB135" i="1" s="1"/>
  <c r="AV15" i="1"/>
  <c r="AW15" i="1" s="1"/>
  <c r="BB15" i="1" s="1"/>
  <c r="AV144" i="1"/>
  <c r="AW144" i="1" s="1"/>
  <c r="BB144" i="1" s="1"/>
  <c r="AV213" i="1"/>
  <c r="AW213" i="1" s="1"/>
  <c r="BB213" i="1" s="1"/>
  <c r="AV8" i="1"/>
  <c r="AW8" i="1" s="1"/>
  <c r="BB8" i="1" s="1"/>
  <c r="AV126" i="1"/>
  <c r="AW126" i="1" s="1"/>
  <c r="BB126" i="1" s="1"/>
  <c r="AV66" i="1"/>
  <c r="AW66" i="1" s="1"/>
  <c r="BB66" i="1" s="1"/>
  <c r="AV93" i="1"/>
  <c r="AW93" i="1" s="1"/>
  <c r="BB93" i="1" s="1"/>
  <c r="AV52" i="1"/>
  <c r="AW52" i="1" s="1"/>
  <c r="BB52" i="1" s="1"/>
  <c r="AV141" i="1"/>
  <c r="AW141" i="1" s="1"/>
  <c r="BB141" i="1" s="1"/>
  <c r="AV45" i="1"/>
  <c r="AW45" i="1" s="1"/>
  <c r="BB45" i="1" s="1"/>
  <c r="AV142" i="1"/>
  <c r="AW142" i="1" s="1"/>
  <c r="AV117" i="1"/>
  <c r="AW117" i="1" s="1"/>
  <c r="BB117" i="1" s="1"/>
  <c r="AV230" i="1"/>
  <c r="AW230" i="1" s="1"/>
  <c r="AV162" i="1"/>
  <c r="AW162" i="1" s="1"/>
  <c r="BB162" i="1" s="1"/>
  <c r="AV56" i="1"/>
  <c r="AW56" i="1" s="1"/>
  <c r="BB56" i="1" s="1"/>
  <c r="AV16" i="1"/>
  <c r="AW16" i="1" s="1"/>
  <c r="BB16" i="1" s="1"/>
  <c r="AV140" i="1"/>
  <c r="AW140" i="1" s="1"/>
  <c r="BB140" i="1" s="1"/>
  <c r="AV224" i="1"/>
  <c r="AW224" i="1" s="1"/>
  <c r="BB224" i="1" s="1"/>
  <c r="AV113" i="1"/>
  <c r="AW113" i="1" s="1"/>
  <c r="BB113" i="1" s="1"/>
  <c r="AV200" i="1"/>
  <c r="AW200" i="1" s="1"/>
  <c r="BB200" i="1" s="1"/>
  <c r="AV137" i="1"/>
  <c r="AW137" i="1" s="1"/>
  <c r="BB137" i="1" s="1"/>
  <c r="AV254" i="1"/>
  <c r="AW254" i="1" s="1"/>
  <c r="BB254" i="1" s="1"/>
  <c r="AV19" i="1"/>
  <c r="AW19" i="1" s="1"/>
  <c r="BB19" i="1" s="1"/>
  <c r="AV216" i="1"/>
  <c r="AW216" i="1" s="1"/>
  <c r="BB216" i="1" s="1"/>
  <c r="AV68" i="1"/>
  <c r="AW68" i="1" s="1"/>
  <c r="BB68" i="1" s="1"/>
  <c r="AV201" i="1"/>
  <c r="AW201" i="1" s="1"/>
  <c r="BB201" i="1" s="1"/>
  <c r="AV228" i="1"/>
  <c r="AW228" i="1" s="1"/>
  <c r="BB228" i="1" s="1"/>
  <c r="AV131" i="1"/>
  <c r="AW131" i="1" s="1"/>
  <c r="AV107" i="1"/>
  <c r="AW107" i="1" s="1"/>
  <c r="BB107" i="1" s="1"/>
  <c r="AV229" i="1"/>
  <c r="AW229" i="1" s="1"/>
  <c r="BB229" i="1" s="1"/>
  <c r="AV161" i="1"/>
  <c r="AW161" i="1" s="1"/>
  <c r="BB161" i="1" s="1"/>
  <c r="AV118" i="1"/>
  <c r="AW118" i="1" s="1"/>
  <c r="BB118" i="1" s="1"/>
  <c r="AV248" i="1"/>
  <c r="AW248" i="1" s="1"/>
  <c r="BB248" i="1" s="1"/>
  <c r="AV139" i="1"/>
  <c r="AW139" i="1" s="1"/>
  <c r="BB139" i="1" s="1"/>
  <c r="AV157" i="1"/>
  <c r="AW157" i="1" s="1"/>
  <c r="BB157" i="1" s="1"/>
  <c r="AV50" i="1"/>
  <c r="AW50" i="1" s="1"/>
  <c r="BB50" i="1" s="1"/>
  <c r="BQ292" i="1"/>
  <c r="BR292" i="1" s="1"/>
  <c r="AU30" i="1"/>
  <c r="AT30" i="1"/>
  <c r="AU32" i="1"/>
  <c r="AT32" i="1"/>
  <c r="AT31" i="1"/>
  <c r="AU31" i="1"/>
  <c r="BQ307" i="1"/>
  <c r="BR307" i="1" s="1"/>
  <c r="BQ175" i="1"/>
  <c r="BR175" i="1" s="1"/>
  <c r="BQ344" i="1"/>
  <c r="BR344" i="1" s="1"/>
  <c r="BQ313" i="1"/>
  <c r="BR313" i="1" s="1"/>
  <c r="BQ328" i="1"/>
  <c r="BR328" i="1" s="1"/>
  <c r="BQ304" i="1"/>
  <c r="BR304" i="1" s="1"/>
  <c r="BQ77" i="1"/>
  <c r="BR77" i="1" s="1"/>
  <c r="BQ213" i="1"/>
  <c r="BR213" i="1" s="1"/>
  <c r="BQ16" i="1"/>
  <c r="BR16" i="1" s="1"/>
  <c r="BQ250" i="1"/>
  <c r="BR250" i="1" s="1"/>
  <c r="BQ228" i="1"/>
  <c r="BR228" i="1" s="1"/>
  <c r="BQ97" i="1"/>
  <c r="BR97" i="1" s="1"/>
  <c r="BQ55" i="1"/>
  <c r="BR55" i="1" s="1"/>
  <c r="BQ232" i="1"/>
  <c r="BR232" i="1" s="1"/>
  <c r="BQ206" i="1"/>
  <c r="BR206" i="1" s="1"/>
  <c r="BQ66" i="1"/>
  <c r="BR66" i="1" s="1"/>
  <c r="BQ155" i="1"/>
  <c r="BR155" i="1" s="1"/>
  <c r="BQ308" i="1"/>
  <c r="BR308" i="1" s="1"/>
  <c r="BQ302" i="1"/>
  <c r="BR302" i="1" s="1"/>
  <c r="BQ157" i="1"/>
  <c r="BR157" i="1" s="1"/>
  <c r="BQ194" i="1"/>
  <c r="BR194" i="1" s="1"/>
  <c r="BQ91" i="1"/>
  <c r="BR91" i="1" s="1"/>
  <c r="BQ274" i="1"/>
  <c r="BR274" i="1" s="1"/>
  <c r="BQ290" i="1"/>
  <c r="BR290" i="1" s="1"/>
  <c r="BQ14" i="1"/>
  <c r="BR14" i="1" s="1"/>
  <c r="BQ389" i="1"/>
  <c r="BR389" i="1" s="1"/>
  <c r="BQ199" i="1"/>
  <c r="BR199" i="1" s="1"/>
  <c r="BQ349" i="1"/>
  <c r="BR349" i="1" s="1"/>
  <c r="BQ245" i="1"/>
  <c r="BR245" i="1" s="1"/>
  <c r="BQ376" i="1"/>
  <c r="BR376" i="1" s="1"/>
  <c r="BQ148" i="1"/>
  <c r="BR148" i="1" s="1"/>
  <c r="BQ159" i="1"/>
  <c r="BR159" i="1" s="1"/>
  <c r="BQ219" i="1"/>
  <c r="BR219" i="1" s="1"/>
  <c r="BQ321" i="1"/>
  <c r="BR321" i="1" s="1"/>
  <c r="BQ185" i="1"/>
  <c r="BR185" i="1" s="1"/>
  <c r="BQ257" i="1"/>
  <c r="BR257" i="1" s="1"/>
  <c r="BQ165" i="1"/>
  <c r="BR165" i="1" s="1"/>
  <c r="BQ317" i="1"/>
  <c r="BR317" i="1" s="1"/>
  <c r="BQ405" i="1"/>
  <c r="BR405" i="1" s="1"/>
  <c r="BQ282" i="1"/>
  <c r="BR282" i="1" s="1"/>
  <c r="BQ319" i="1"/>
  <c r="BR319" i="1" s="1"/>
  <c r="BQ6" i="1"/>
  <c r="BR6" i="1" s="1"/>
  <c r="BQ210" i="1"/>
  <c r="BR210" i="1" s="1"/>
  <c r="BQ277" i="1"/>
  <c r="BR277" i="1" s="1"/>
  <c r="BQ403" i="1"/>
  <c r="BR403" i="1" s="1"/>
  <c r="BQ296" i="1"/>
  <c r="BR296" i="1" s="1"/>
  <c r="BQ202" i="1"/>
  <c r="BR202" i="1" s="1"/>
  <c r="BQ295" i="1"/>
  <c r="BR295" i="1" s="1"/>
  <c r="BQ364" i="1"/>
  <c r="BR364" i="1" s="1"/>
  <c r="BQ265" i="1"/>
  <c r="BR265" i="1" s="1"/>
  <c r="BQ47" i="1"/>
  <c r="BR47" i="1" s="1"/>
  <c r="BQ184" i="1"/>
  <c r="BR184" i="1" s="1"/>
  <c r="BQ178" i="1"/>
  <c r="BR178" i="1" s="1"/>
  <c r="BQ310" i="1"/>
  <c r="BR310" i="1" s="1"/>
  <c r="BQ419" i="1"/>
  <c r="BR419" i="1" s="1"/>
  <c r="BQ70" i="1"/>
  <c r="BR70" i="1" s="1"/>
  <c r="BQ375" i="1"/>
  <c r="BR375" i="1" s="1"/>
  <c r="BQ85" i="1"/>
  <c r="BR85" i="1" s="1"/>
  <c r="BQ80" i="1"/>
  <c r="BR80" i="1" s="1"/>
  <c r="BQ81" i="1"/>
  <c r="BR81" i="1" s="1"/>
  <c r="BQ382" i="1"/>
  <c r="BR382" i="1" s="1"/>
  <c r="BQ318" i="1"/>
  <c r="BR318" i="1" s="1"/>
  <c r="BQ325" i="1"/>
  <c r="BR325" i="1" s="1"/>
  <c r="BQ247" i="1"/>
  <c r="BR247" i="1" s="1"/>
  <c r="BQ11" i="1"/>
  <c r="BR11" i="1" s="1"/>
  <c r="BQ187" i="1"/>
  <c r="BR187" i="1" s="1"/>
  <c r="BQ255" i="1"/>
  <c r="BR255" i="1" s="1"/>
  <c r="BQ408" i="1"/>
  <c r="BR408" i="1" s="1"/>
  <c r="BQ173" i="1"/>
  <c r="BR173" i="1" s="1"/>
  <c r="BQ143" i="1"/>
  <c r="BR143" i="1" s="1"/>
  <c r="BQ71" i="1"/>
  <c r="BR71" i="1" s="1"/>
  <c r="AV30" i="1" l="1"/>
  <c r="AW30" i="1" s="1"/>
  <c r="AV31" i="1"/>
  <c r="AW31" i="1" s="1"/>
  <c r="AV32" i="1"/>
  <c r="AW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tc={2609BA05-D939-4DFB-BE51-E0E5A786FEEA}</author>
    <author>Schelley, Emily</author>
    <author>Administrator</author>
    <author>Amy Macrellis</author>
    <author>Polly Crocker</author>
    <author>tc={044B65BD-65FC-4BC6-ADDE-F22F44A78EAF}</author>
  </authors>
  <commentList>
    <comment ref="BJ1" authorId="0" shapeId="0" xr:uid="{2609BA05-D939-4DFB-BE51-E0E5A786FEEA}">
      <text>
        <t xml:space="preserve">[Threaded comment]
Your version of Excel allows you to read this threaded comment; however, any edits to it will get removed if the file is opened in a newer version of Excel. Learn more: https://go.microsoft.com/fwlink/?linkid=870924
Comment:
    If the BMP has been upgraded multiple times, specifications entered in this section should be the last configuration that is not eligible for credit under the phosphorus control plan. 
</t>
      </text>
    </comment>
    <comment ref="A2" authorId="1" shapeId="0" xr:uid="{7CE72B43-D4E9-4ED7-98C6-D32AA3F958A1}">
      <text>
        <r>
          <rPr>
            <sz val="9"/>
            <color indexed="81"/>
            <rFont val="Tahoma"/>
            <family val="2"/>
          </rPr>
          <t>An indentifier assigned by the MS4, such as from a FRP or PCP.</t>
        </r>
      </text>
    </comment>
    <comment ref="AX2" authorId="2" shapeId="0" xr:uid="{2E4D38CB-7DB9-41F9-9AD8-849A29C99799}">
      <text>
        <r>
          <rPr>
            <sz val="9"/>
            <color indexed="81"/>
            <rFont val="Tahoma"/>
            <family val="2"/>
          </rPr>
          <t>Use only if the worksheet does not accomodate the situation, such as if there are practices in series. Manual values will override calculated values if present</t>
        </r>
      </text>
    </comment>
    <comment ref="BA2" authorId="2" shapeId="0" xr:uid="{CDED2392-4DA6-4B38-8CE6-DECF46E47DBF}">
      <text>
        <r>
          <rPr>
            <b/>
            <sz val="9"/>
            <color indexed="81"/>
            <rFont val="Tahoma"/>
            <family val="2"/>
          </rPr>
          <t>Administrator:</t>
        </r>
        <r>
          <rPr>
            <sz val="9"/>
            <color indexed="81"/>
            <rFont val="Tahoma"/>
            <family val="2"/>
          </rPr>
          <t xml:space="preserve">
If credit for the practice is going to be shared between MS4s, put the % credit received by your MS4 here.</t>
        </r>
      </text>
    </comment>
    <comment ref="X3" authorId="3" shapeId="0" xr:uid="{DB22170A-4102-424C-B0D9-1FD238923882}">
      <text>
        <r>
          <rPr>
            <b/>
            <sz val="9"/>
            <color indexed="81"/>
            <rFont val="Tahoma"/>
            <family val="2"/>
          </rPr>
          <t>Amy Macrellis:</t>
        </r>
        <r>
          <rPr>
            <sz val="9"/>
            <color indexed="81"/>
            <rFont val="Tahoma"/>
            <family val="2"/>
          </rPr>
          <t xml:space="preserve">
"Underground Detention Chamver" - changed to infiltration chamgber with lowerst infiltratin rate for P calc 2020 04 17</t>
        </r>
      </text>
    </comment>
    <comment ref="AM30" authorId="3" shapeId="0" xr:uid="{5625540A-F909-42A6-8007-913EAF65CCBB}">
      <text>
        <r>
          <rPr>
            <b/>
            <sz val="9"/>
            <color indexed="81"/>
            <rFont val="Tahoma"/>
            <family val="2"/>
          </rPr>
          <t>Amy Macrellis:</t>
        </r>
        <r>
          <rPr>
            <sz val="9"/>
            <color indexed="81"/>
            <rFont val="Tahoma"/>
            <family val="2"/>
          </rPr>
          <t xml:space="preserve">
0.25 ac impervious, 0.37 ac pervious, 0.68 ratio, HSG D</t>
        </r>
      </text>
    </comment>
    <comment ref="AM31" authorId="3" shapeId="0" xr:uid="{52D3EF2F-E6BA-4E56-B5EC-7151153E017A}">
      <text>
        <r>
          <rPr>
            <b/>
            <sz val="9"/>
            <color indexed="81"/>
            <rFont val="Tahoma"/>
            <family val="2"/>
          </rPr>
          <t>Amy Macrellis:</t>
        </r>
        <r>
          <rPr>
            <sz val="9"/>
            <color indexed="81"/>
            <rFont val="Tahoma"/>
            <family val="2"/>
          </rPr>
          <t xml:space="preserve">
1.02 ac impervious, 1.66 ac pervious, ratio 0.61, HSG D</t>
        </r>
      </text>
    </comment>
    <comment ref="AM32" authorId="3" shapeId="0" xr:uid="{8DE3B19C-D119-419D-B115-B9EE86FE39B6}">
      <text>
        <r>
          <rPr>
            <b/>
            <sz val="9"/>
            <color indexed="81"/>
            <rFont val="Tahoma"/>
            <family val="2"/>
          </rPr>
          <t>Amy Macrellis:</t>
        </r>
        <r>
          <rPr>
            <sz val="9"/>
            <color indexed="81"/>
            <rFont val="Tahoma"/>
            <family val="2"/>
          </rPr>
          <t xml:space="preserve">
0.83 ac imperivous, 2.42 ac pervious, ratio 0.34, HSG C</t>
        </r>
      </text>
    </comment>
    <comment ref="AM33" authorId="3" shapeId="0" xr:uid="{918AF08B-173D-48E4-B8B1-ED6AA00AB4CE}">
      <text>
        <r>
          <rPr>
            <b/>
            <sz val="9"/>
            <color indexed="81"/>
            <rFont val="Tahoma"/>
            <family val="2"/>
          </rPr>
          <t>Amy Macrellis:</t>
        </r>
        <r>
          <rPr>
            <sz val="9"/>
            <color indexed="81"/>
            <rFont val="Tahoma"/>
            <family val="2"/>
          </rPr>
          <t xml:space="preserve">
0.87 acres pervious to 0.42 acres impervious (0.48 ratio), HSG D</t>
        </r>
      </text>
    </comment>
    <comment ref="AM34" authorId="3" shapeId="0" xr:uid="{06ABAA35-7B22-4F9D-8613-2AB83BE0EA8C}">
      <text>
        <r>
          <rPr>
            <b/>
            <sz val="9"/>
            <color indexed="81"/>
            <rFont val="Tahoma"/>
            <family val="2"/>
          </rPr>
          <t>Amy Macrellis:</t>
        </r>
        <r>
          <rPr>
            <sz val="9"/>
            <color indexed="81"/>
            <rFont val="Tahoma"/>
            <family val="2"/>
          </rPr>
          <t xml:space="preserve">
3.7 acres pervious to 1.07 ac impervious = 0.29, HSG D</t>
        </r>
      </text>
    </comment>
    <comment ref="AM35" authorId="3" shapeId="0" xr:uid="{DF059564-B474-41A8-AB65-8C95180EE579}">
      <text>
        <r>
          <rPr>
            <b/>
            <sz val="9"/>
            <color indexed="81"/>
            <rFont val="Tahoma"/>
            <family val="2"/>
          </rPr>
          <t>Amy Macrellis:</t>
        </r>
        <r>
          <rPr>
            <sz val="9"/>
            <color indexed="81"/>
            <rFont val="Tahoma"/>
            <family val="2"/>
          </rPr>
          <t xml:space="preserve">
1.63 acres pervious to 0.83 ac impervious (0.51 raito), HSG C</t>
        </r>
      </text>
    </comment>
    <comment ref="AM36" authorId="3" shapeId="0" xr:uid="{F44E3F96-7E26-4DE3-9D57-598DF933E077}">
      <text>
        <r>
          <rPr>
            <b/>
            <sz val="9"/>
            <color indexed="81"/>
            <rFont val="Tahoma"/>
            <family val="2"/>
          </rPr>
          <t>Amy Macrellis:</t>
        </r>
        <r>
          <rPr>
            <sz val="9"/>
            <color indexed="81"/>
            <rFont val="Tahoma"/>
            <family val="2"/>
          </rPr>
          <t xml:space="preserve">
1.22 ac pervious to 0.57 ac impervious (0.47 ratio), HSG C</t>
        </r>
      </text>
    </comment>
    <comment ref="AM37" authorId="3" shapeId="0" xr:uid="{5E55104F-21CD-47D7-AA5F-2D973A569983}">
      <text>
        <r>
          <rPr>
            <b/>
            <sz val="9"/>
            <color indexed="81"/>
            <rFont val="Tahoma"/>
            <family val="2"/>
          </rPr>
          <t>Amy Macrellis:</t>
        </r>
        <r>
          <rPr>
            <sz val="9"/>
            <color indexed="81"/>
            <rFont val="Tahoma"/>
            <family val="2"/>
          </rPr>
          <t xml:space="preserve">
0.67 ac impervious, 1.7 ac pervious, ratio 0.39, HSG C</t>
        </r>
      </text>
    </comment>
    <comment ref="AM38" authorId="3" shapeId="0" xr:uid="{304A017C-CD11-41B4-BBC9-30F43B5BE4C0}">
      <text>
        <r>
          <rPr>
            <b/>
            <sz val="9"/>
            <color indexed="81"/>
            <rFont val="Tahoma"/>
            <family val="2"/>
          </rPr>
          <t>Amy Macrellis:</t>
        </r>
        <r>
          <rPr>
            <sz val="9"/>
            <color indexed="81"/>
            <rFont val="Tahoma"/>
            <family val="2"/>
          </rPr>
          <t xml:space="preserve">
0.58 ac impervious, 1.80 ac pervious, ratio 0.32, HSG C</t>
        </r>
      </text>
    </comment>
    <comment ref="AM39" authorId="3" shapeId="0" xr:uid="{82ABA514-C328-4DD4-8B77-40D3DF4C29FD}">
      <text>
        <r>
          <rPr>
            <b/>
            <sz val="9"/>
            <color indexed="81"/>
            <rFont val="Tahoma"/>
            <family val="2"/>
          </rPr>
          <t>Amy Macrellis:</t>
        </r>
        <r>
          <rPr>
            <sz val="9"/>
            <color indexed="81"/>
            <rFont val="Tahoma"/>
            <family val="2"/>
          </rPr>
          <t xml:space="preserve">
0.4 ac impervious, 1.04 ac pervious, 0.38 ratio, HSG C</t>
        </r>
      </text>
    </comment>
    <comment ref="AM40" authorId="3" shapeId="0" xr:uid="{8AC47154-B6F8-422D-925F-5830ED0D18D2}">
      <text>
        <r>
          <rPr>
            <b/>
            <sz val="9"/>
            <color indexed="81"/>
            <rFont val="Tahoma"/>
            <family val="2"/>
          </rPr>
          <t>Amy Macrellis:</t>
        </r>
        <r>
          <rPr>
            <sz val="9"/>
            <color indexed="81"/>
            <rFont val="Tahoma"/>
            <family val="2"/>
          </rPr>
          <t xml:space="preserve">
0.26 ac impervious, 0.45 ac pervious, ratio 0.57, HSG D</t>
        </r>
      </text>
    </comment>
    <comment ref="AM41" authorId="3" shapeId="0" xr:uid="{533C3F26-B897-408D-B061-6B99D40AF3EC}">
      <text>
        <r>
          <rPr>
            <b/>
            <sz val="9"/>
            <color indexed="81"/>
            <rFont val="Tahoma"/>
            <family val="2"/>
          </rPr>
          <t>Amy Macrellis:</t>
        </r>
        <r>
          <rPr>
            <sz val="9"/>
            <color indexed="81"/>
            <rFont val="Tahoma"/>
            <family val="2"/>
          </rPr>
          <t xml:space="preserve">
0.65 ac impervious, 3.0 ac pervious, 0.22 ratio, HSG D</t>
        </r>
      </text>
    </comment>
    <comment ref="AM42" authorId="3" shapeId="0" xr:uid="{F4AF9C59-20D9-456B-8A16-FEAA5D6E6498}">
      <text>
        <r>
          <rPr>
            <b/>
            <sz val="9"/>
            <color indexed="81"/>
            <rFont val="Tahoma"/>
            <family val="2"/>
          </rPr>
          <t>Amy Macrellis:</t>
        </r>
        <r>
          <rPr>
            <sz val="9"/>
            <color indexed="81"/>
            <rFont val="Tahoma"/>
            <family val="2"/>
          </rPr>
          <t xml:space="preserve">
0.16 ac impervious, 0.40 ac pervious, ratio 0.4, HSG D</t>
        </r>
      </text>
    </comment>
    <comment ref="AM43" authorId="3" shapeId="0" xr:uid="{47C7A968-3604-44FD-A70E-9A05ACDD8538}">
      <text>
        <r>
          <rPr>
            <b/>
            <sz val="9"/>
            <color indexed="81"/>
            <rFont val="Tahoma"/>
            <family val="2"/>
          </rPr>
          <t>Amy Macrellis:</t>
        </r>
        <r>
          <rPr>
            <sz val="9"/>
            <color indexed="81"/>
            <rFont val="Tahoma"/>
            <family val="2"/>
          </rPr>
          <t xml:space="preserve">
0.29 ac imperivous, 0.59 ac pervious, ratio 0.49, HSG D</t>
        </r>
      </text>
    </comment>
    <comment ref="X44" authorId="3" shapeId="0" xr:uid="{184C3532-6DB4-4C6E-AD72-8FD75814BDEF}">
      <text>
        <r>
          <rPr>
            <b/>
            <sz val="9"/>
            <color indexed="81"/>
            <rFont val="Tahoma"/>
            <family val="2"/>
          </rPr>
          <t>Amy Macrellis:</t>
        </r>
        <r>
          <rPr>
            <sz val="9"/>
            <color indexed="81"/>
            <rFont val="Tahoma"/>
            <family val="2"/>
          </rPr>
          <t xml:space="preserve">
"Underground Detention Chamver" - changed to infiltration chamgber with lowerst infiltratin rate for P calc 2020 04 17</t>
        </r>
      </text>
    </comment>
    <comment ref="AX60" authorId="4" shapeId="0" xr:uid="{D7F70D46-DA1A-49AC-B448-E26FD0CA3448}">
      <text>
        <r>
          <rPr>
            <b/>
            <sz val="9"/>
            <color indexed="81"/>
            <rFont val="Tahoma"/>
            <family val="2"/>
          </rPr>
          <t>Polly Crocker:</t>
        </r>
        <r>
          <rPr>
            <sz val="9"/>
            <color indexed="81"/>
            <rFont val="Tahoma"/>
            <family val="2"/>
          </rPr>
          <t xml:space="preserve">
Manually esimated as 40% P removal from 2002 VSMM</t>
        </r>
      </text>
    </comment>
    <comment ref="BB67" authorId="4" shapeId="0" xr:uid="{7B944B02-21F8-42B1-9275-4EDB6889EBF0}">
      <text>
        <r>
          <rPr>
            <b/>
            <sz val="9"/>
            <color indexed="81"/>
            <rFont val="Tahoma"/>
            <family val="2"/>
          </rPr>
          <t>Polly Crocker:</t>
        </r>
        <r>
          <rPr>
            <sz val="9"/>
            <color indexed="81"/>
            <rFont val="Tahoma"/>
            <family val="2"/>
          </rPr>
          <t xml:space="preserve">
I think the 'MATCH' function is defaulting to '0' Storage depth for some reason? - ANM - this is a limit of the formuals, if storage depth is less than 0.1 inches nothing else calculates. I  increased the storage volume very slightly, from 1.797 to 1,810 CF and now it works. </t>
        </r>
      </text>
    </comment>
    <comment ref="BB93" authorId="4" shapeId="0" xr:uid="{F19AB2ED-DD92-4E9C-A38F-E44092AC1DD8}">
      <text>
        <r>
          <rPr>
            <b/>
            <sz val="9"/>
            <color indexed="81"/>
            <rFont val="Tahoma"/>
            <family val="2"/>
          </rPr>
          <t>Polly Crocker:</t>
        </r>
        <r>
          <rPr>
            <sz val="9"/>
            <color indexed="81"/>
            <rFont val="Tahoma"/>
            <family val="2"/>
          </rPr>
          <t xml:space="preserve">
storage volume still too small to calc</t>
        </r>
      </text>
    </comment>
    <comment ref="BB94" authorId="4" shapeId="0" xr:uid="{BD282B05-5099-43FC-95C6-BB954FA78ABC}">
      <text>
        <r>
          <rPr>
            <b/>
            <sz val="9"/>
            <color indexed="81"/>
            <rFont val="Tahoma"/>
            <family val="2"/>
          </rPr>
          <t>Polly Crocker:</t>
        </r>
        <r>
          <rPr>
            <sz val="9"/>
            <color indexed="81"/>
            <rFont val="Tahoma"/>
            <family val="2"/>
          </rPr>
          <t xml:space="preserve">
storage volume still too small to calc</t>
        </r>
      </text>
    </comment>
    <comment ref="BB96" authorId="4" shapeId="0" xr:uid="{D33F3268-910E-4938-B22C-1F8C54EE5932}">
      <text>
        <r>
          <rPr>
            <b/>
            <sz val="9"/>
            <color indexed="81"/>
            <rFont val="Tahoma"/>
            <family val="2"/>
          </rPr>
          <t>Polly Crocker:</t>
        </r>
        <r>
          <rPr>
            <sz val="9"/>
            <color indexed="81"/>
            <rFont val="Tahoma"/>
            <family val="2"/>
          </rPr>
          <t xml:space="preserve">
storage volume still too small to calculate</t>
        </r>
      </text>
    </comment>
    <comment ref="BB100" authorId="4" shapeId="0" xr:uid="{FCB754B8-7035-45F5-AEEE-A865EDA2F11F}">
      <text>
        <r>
          <rPr>
            <b/>
            <sz val="9"/>
            <color indexed="81"/>
            <rFont val="Tahoma"/>
            <family val="2"/>
          </rPr>
          <t>Polly Crocker:</t>
        </r>
        <r>
          <rPr>
            <sz val="9"/>
            <color indexed="81"/>
            <rFont val="Tahoma"/>
            <family val="2"/>
          </rPr>
          <t xml:space="preserve">
storage volume still too small to calculate</t>
        </r>
      </text>
    </comment>
    <comment ref="A110" authorId="3" shapeId="0" xr:uid="{E4CECAD8-F160-4178-87D3-9792D697506C}">
      <text>
        <r>
          <rPr>
            <b/>
            <sz val="9"/>
            <color indexed="81"/>
            <rFont val="Tahoma"/>
            <family val="2"/>
          </rPr>
          <t>Amy Macrellis:</t>
        </r>
        <r>
          <rPr>
            <sz val="9"/>
            <color indexed="81"/>
            <rFont val="Tahoma"/>
            <family val="2"/>
          </rPr>
          <t xml:space="preserve">
GlobalID for project limits</t>
        </r>
      </text>
    </comment>
    <comment ref="A111" authorId="3" shapeId="0" xr:uid="{0FB4A5A8-153F-4C45-8861-9643EE2CD83E}">
      <text>
        <r>
          <rPr>
            <b/>
            <sz val="9"/>
            <color indexed="81"/>
            <rFont val="Tahoma"/>
            <family val="2"/>
          </rPr>
          <t>Amy Macrellis:</t>
        </r>
        <r>
          <rPr>
            <sz val="9"/>
            <color indexed="81"/>
            <rFont val="Tahoma"/>
            <family val="2"/>
          </rPr>
          <t xml:space="preserve">
GlobalID is for Project Limits</t>
        </r>
      </text>
    </comment>
    <comment ref="BB113" authorId="4" shapeId="0" xr:uid="{0AB2C4DA-F20E-41A0-98DF-681F8E09DCA1}">
      <text>
        <r>
          <rPr>
            <b/>
            <sz val="9"/>
            <color indexed="81"/>
            <rFont val="Tahoma"/>
            <family val="2"/>
          </rPr>
          <t>Polly Crocker:</t>
        </r>
        <r>
          <rPr>
            <sz val="9"/>
            <color indexed="81"/>
            <rFont val="Tahoma"/>
            <family val="2"/>
          </rPr>
          <t xml:space="preserve">
9/10/20 According to Tyler, the storage volume is 0 because the areas is sandy and water does not pond
9/18/20 Changhed BMP type to Infiltration Basin because that's whats essentially functioning as and assumed depth of 1ft per Amy's direction</t>
        </r>
      </text>
    </comment>
    <comment ref="X122" authorId="3" shapeId="0" xr:uid="{F5CFC3DD-B21B-4921-9C65-B5F25D487DA1}">
      <text>
        <r>
          <rPr>
            <b/>
            <sz val="9"/>
            <color indexed="81"/>
            <rFont val="Tahoma"/>
            <family val="2"/>
          </rPr>
          <t>Amy Macrellis:</t>
        </r>
        <r>
          <rPr>
            <sz val="9"/>
            <color indexed="81"/>
            <rFont val="Tahoma"/>
            <family val="2"/>
          </rPr>
          <t xml:space="preserve">
Changed "Underground Detention Chamber" to infiltration chamver with low rate, 2020 04 17</t>
        </r>
      </text>
    </comment>
    <comment ref="X124" authorId="3" shapeId="0" xr:uid="{EED1557E-04F2-48D1-88BB-2385CFE31838}">
      <text>
        <r>
          <rPr>
            <b/>
            <sz val="9"/>
            <color indexed="81"/>
            <rFont val="Tahoma"/>
            <family val="2"/>
          </rPr>
          <t>Amy Macrellis:</t>
        </r>
        <r>
          <rPr>
            <sz val="9"/>
            <color indexed="81"/>
            <rFont val="Tahoma"/>
            <family val="2"/>
          </rPr>
          <t xml:space="preserve">
"Median Filter" updated to sand filter with low infiltration rate 2020 04 17</t>
        </r>
      </text>
    </comment>
    <comment ref="BB126" authorId="4" shapeId="0" xr:uid="{6169CBA2-CFAD-4C78-9BF3-E70F9EC2AFEF}">
      <text>
        <r>
          <rPr>
            <b/>
            <sz val="9"/>
            <color indexed="81"/>
            <rFont val="Tahoma"/>
            <family val="2"/>
          </rPr>
          <t>Polly Crocker:</t>
        </r>
        <r>
          <rPr>
            <sz val="9"/>
            <color indexed="81"/>
            <rFont val="Tahoma"/>
            <family val="2"/>
          </rPr>
          <t xml:space="preserve">
storage volume still too small to calculate</t>
        </r>
      </text>
    </comment>
    <comment ref="A129" authorId="3" shapeId="0" xr:uid="{3D2A69D8-D076-4C7D-840A-300F7CC9F211}">
      <text>
        <r>
          <rPr>
            <b/>
            <sz val="9"/>
            <color indexed="81"/>
            <rFont val="Tahoma"/>
            <family val="2"/>
          </rPr>
          <t>Amy Macrellis:</t>
        </r>
        <r>
          <rPr>
            <sz val="9"/>
            <color indexed="81"/>
            <rFont val="Tahoma"/>
            <family val="2"/>
          </rPr>
          <t xml:space="preserve">
GlobalID for project limits</t>
        </r>
      </text>
    </comment>
    <comment ref="A130" authorId="3" shapeId="0" xr:uid="{E9FA1654-38BD-4E7E-9D43-264F29BA11C1}">
      <text>
        <r>
          <rPr>
            <b/>
            <sz val="9"/>
            <color indexed="81"/>
            <rFont val="Tahoma"/>
            <family val="2"/>
          </rPr>
          <t>Amy Macrellis:</t>
        </r>
        <r>
          <rPr>
            <sz val="9"/>
            <color indexed="81"/>
            <rFont val="Tahoma"/>
            <family val="2"/>
          </rPr>
          <t xml:space="preserve">
GlobalID for project limits</t>
        </r>
      </text>
    </comment>
    <comment ref="BB132" authorId="4" shapeId="0" xr:uid="{45295BCB-6C9B-4F88-AD00-334F4B64B38A}">
      <text>
        <r>
          <rPr>
            <b/>
            <sz val="9"/>
            <color indexed="81"/>
            <rFont val="Tahoma"/>
            <family val="2"/>
          </rPr>
          <t>Polly Crocker:</t>
        </r>
        <r>
          <rPr>
            <sz val="9"/>
            <color indexed="81"/>
            <rFont val="Tahoma"/>
            <family val="2"/>
          </rPr>
          <t xml:space="preserve">
storage volume still too small to calculate</t>
        </r>
      </text>
    </comment>
    <comment ref="BB134" authorId="4" shapeId="0" xr:uid="{0AC559FE-1C9E-44E0-84F8-D55117A99DBE}">
      <text>
        <r>
          <rPr>
            <b/>
            <sz val="9"/>
            <color indexed="81"/>
            <rFont val="Tahoma"/>
            <family val="2"/>
          </rPr>
          <t>Polly Crocker:</t>
        </r>
        <r>
          <rPr>
            <sz val="9"/>
            <color indexed="81"/>
            <rFont val="Tahoma"/>
            <family val="2"/>
          </rPr>
          <t xml:space="preserve">
storage volume still too small to calculate</t>
        </r>
      </text>
    </comment>
    <comment ref="U161" authorId="3" shapeId="0" xr:uid="{1BEAEAF3-D47C-41B4-8787-E3CC629BF305}">
      <text>
        <r>
          <rPr>
            <b/>
            <sz val="9"/>
            <color indexed="81"/>
            <rFont val="Tahoma"/>
            <family val="2"/>
          </rPr>
          <t>Amy Macrellis:</t>
        </r>
        <r>
          <rPr>
            <sz val="9"/>
            <color indexed="81"/>
            <rFont val="Tahoma"/>
            <family val="2"/>
          </rPr>
          <t xml:space="preserve">
Ryder Brook</t>
        </r>
      </text>
    </comment>
    <comment ref="U162" authorId="3" shapeId="0" xr:uid="{59B256CE-1F77-4438-92AF-CA2C213CCD48}">
      <text>
        <r>
          <rPr>
            <b/>
            <sz val="9"/>
            <color indexed="81"/>
            <rFont val="Tahoma"/>
            <family val="2"/>
          </rPr>
          <t>Amy Macrellis:</t>
        </r>
        <r>
          <rPr>
            <sz val="9"/>
            <color indexed="81"/>
            <rFont val="Tahoma"/>
            <family val="2"/>
          </rPr>
          <t xml:space="preserve">
Ryder Brook</t>
        </r>
      </text>
    </comment>
    <comment ref="BB174" authorId="4" shapeId="0" xr:uid="{23F5D905-6D42-4413-BCB2-FB63797BFCC7}">
      <text>
        <r>
          <rPr>
            <b/>
            <sz val="9"/>
            <color indexed="81"/>
            <rFont val="Tahoma"/>
            <family val="2"/>
          </rPr>
          <t>Polly Crocker:</t>
        </r>
        <r>
          <rPr>
            <sz val="9"/>
            <color indexed="81"/>
            <rFont val="Tahoma"/>
            <family val="2"/>
          </rPr>
          <t xml:space="preserve">
storage volume still too small to calculate</t>
        </r>
      </text>
    </comment>
    <comment ref="A232" authorId="3" shapeId="0" xr:uid="{DE9F7660-58B3-4F8E-8210-2DC286AB4312}">
      <text>
        <r>
          <rPr>
            <b/>
            <sz val="9"/>
            <color indexed="81"/>
            <rFont val="Tahoma"/>
            <family val="2"/>
          </rPr>
          <t>Amy Macrellis:</t>
        </r>
        <r>
          <rPr>
            <sz val="9"/>
            <color indexed="81"/>
            <rFont val="Tahoma"/>
            <family val="2"/>
          </rPr>
          <t xml:space="preserve">
GlobalID for project limits</t>
        </r>
      </text>
    </comment>
    <comment ref="A233" authorId="3" shapeId="0" xr:uid="{8DF636D0-F128-4DDB-8E95-C5120B981D4D}">
      <text>
        <r>
          <rPr>
            <b/>
            <sz val="9"/>
            <color indexed="81"/>
            <rFont val="Tahoma"/>
            <family val="2"/>
          </rPr>
          <t>Amy Macrellis:</t>
        </r>
        <r>
          <rPr>
            <sz val="9"/>
            <color indexed="81"/>
            <rFont val="Tahoma"/>
            <family val="2"/>
          </rPr>
          <t xml:space="preserve">
GlobalID for project limits</t>
        </r>
      </text>
    </comment>
    <comment ref="A234" authorId="3" shapeId="0" xr:uid="{17BA1E27-9ED7-48F1-9692-EA6A4E22B462}">
      <text>
        <r>
          <rPr>
            <b/>
            <sz val="9"/>
            <color indexed="81"/>
            <rFont val="Tahoma"/>
            <family val="2"/>
          </rPr>
          <t>Amy Macrellis:</t>
        </r>
        <r>
          <rPr>
            <sz val="9"/>
            <color indexed="81"/>
            <rFont val="Tahoma"/>
            <family val="2"/>
          </rPr>
          <t xml:space="preserve">
GlobalID for project limits</t>
        </r>
      </text>
    </comment>
    <comment ref="A235" authorId="3" shapeId="0" xr:uid="{B0B9EFCB-8771-499E-B5CE-9E9329C4B470}">
      <text>
        <r>
          <rPr>
            <b/>
            <sz val="9"/>
            <color indexed="81"/>
            <rFont val="Tahoma"/>
            <family val="2"/>
          </rPr>
          <t>Amy Macrellis:</t>
        </r>
        <r>
          <rPr>
            <sz val="9"/>
            <color indexed="81"/>
            <rFont val="Tahoma"/>
            <family val="2"/>
          </rPr>
          <t xml:space="preserve">
GlobalID is for project limits</t>
        </r>
      </text>
    </comment>
    <comment ref="A236" authorId="3" shapeId="0" xr:uid="{DAABDE70-83F7-4E97-896C-5CF7BAEC591C}">
      <text>
        <r>
          <rPr>
            <b/>
            <sz val="9"/>
            <color indexed="81"/>
            <rFont val="Tahoma"/>
            <family val="2"/>
          </rPr>
          <t>Amy Macrellis:</t>
        </r>
        <r>
          <rPr>
            <sz val="9"/>
            <color indexed="81"/>
            <rFont val="Tahoma"/>
            <family val="2"/>
          </rPr>
          <t xml:space="preserve">
GlobalID for project limits</t>
        </r>
      </text>
    </comment>
    <comment ref="A237" authorId="3" shapeId="0" xr:uid="{20150E05-6DD5-4B2D-A16C-DE5D7DB53392}">
      <text>
        <r>
          <rPr>
            <b/>
            <sz val="9"/>
            <color indexed="81"/>
            <rFont val="Tahoma"/>
            <family val="2"/>
          </rPr>
          <t>Amy Macrellis:</t>
        </r>
        <r>
          <rPr>
            <sz val="9"/>
            <color indexed="81"/>
            <rFont val="Tahoma"/>
            <family val="2"/>
          </rPr>
          <t xml:space="preserve">
GlobalID for project limits</t>
        </r>
      </text>
    </comment>
    <comment ref="A238" authorId="3" shapeId="0" xr:uid="{E04E95C0-D6E1-435E-83FD-3A1014A761BF}">
      <text>
        <r>
          <rPr>
            <b/>
            <sz val="9"/>
            <color indexed="81"/>
            <rFont val="Tahoma"/>
            <family val="2"/>
          </rPr>
          <t>Amy Macrellis:</t>
        </r>
        <r>
          <rPr>
            <sz val="9"/>
            <color indexed="81"/>
            <rFont val="Tahoma"/>
            <family val="2"/>
          </rPr>
          <t xml:space="preserve">
GlobalID for project limits</t>
        </r>
      </text>
    </comment>
    <comment ref="A240" authorId="3" shapeId="0" xr:uid="{16B97749-964F-4AA3-BFA8-204F1F611BA5}">
      <text>
        <r>
          <rPr>
            <b/>
            <sz val="9"/>
            <color indexed="81"/>
            <rFont val="Tahoma"/>
            <family val="2"/>
          </rPr>
          <t>Amy Macrellis:</t>
        </r>
        <r>
          <rPr>
            <sz val="9"/>
            <color indexed="81"/>
            <rFont val="Tahoma"/>
            <family val="2"/>
          </rPr>
          <t xml:space="preserve">
GlobalID for project limits</t>
        </r>
      </text>
    </comment>
    <comment ref="A241" authorId="3" shapeId="0" xr:uid="{1D2648FD-6FF5-4FF7-BE0A-22DA1F4DCF02}">
      <text>
        <r>
          <rPr>
            <b/>
            <sz val="9"/>
            <color indexed="81"/>
            <rFont val="Tahoma"/>
            <family val="2"/>
          </rPr>
          <t>Amy Macrellis:</t>
        </r>
        <r>
          <rPr>
            <sz val="9"/>
            <color indexed="81"/>
            <rFont val="Tahoma"/>
            <family val="2"/>
          </rPr>
          <t xml:space="preserve">
GlobalID for project limits</t>
        </r>
      </text>
    </comment>
    <comment ref="A242" authorId="3" shapeId="0" xr:uid="{7E43536F-CEC9-486A-85CE-9C3F393BDECD}">
      <text>
        <r>
          <rPr>
            <b/>
            <sz val="9"/>
            <color indexed="81"/>
            <rFont val="Tahoma"/>
            <family val="2"/>
          </rPr>
          <t>Amy Macrellis:</t>
        </r>
        <r>
          <rPr>
            <sz val="9"/>
            <color indexed="81"/>
            <rFont val="Tahoma"/>
            <family val="2"/>
          </rPr>
          <t xml:space="preserve">
GlobalID for project limits</t>
        </r>
      </text>
    </comment>
    <comment ref="A243" authorId="3" shapeId="0" xr:uid="{D2C0E5FB-944C-4A13-B90B-73523867C4B1}">
      <text>
        <r>
          <rPr>
            <b/>
            <sz val="9"/>
            <color indexed="81"/>
            <rFont val="Tahoma"/>
            <family val="2"/>
          </rPr>
          <t>Amy Macrellis:</t>
        </r>
        <r>
          <rPr>
            <sz val="9"/>
            <color indexed="81"/>
            <rFont val="Tahoma"/>
            <family val="2"/>
          </rPr>
          <t xml:space="preserve">
GlobalID for project limits</t>
        </r>
      </text>
    </comment>
    <comment ref="A244" authorId="3" shapeId="0" xr:uid="{B8BA4255-6DA7-4C79-8410-5C403BF61567}">
      <text>
        <r>
          <rPr>
            <b/>
            <sz val="9"/>
            <color indexed="81"/>
            <rFont val="Tahoma"/>
            <family val="2"/>
          </rPr>
          <t>Amy Macrellis:</t>
        </r>
        <r>
          <rPr>
            <sz val="9"/>
            <color indexed="81"/>
            <rFont val="Tahoma"/>
            <family val="2"/>
          </rPr>
          <t xml:space="preserve">
GlobalID for project limits</t>
        </r>
      </text>
    </comment>
    <comment ref="A245" authorId="3" shapeId="0" xr:uid="{497B3E4A-ED53-42A7-809A-724FA9243392}">
      <text>
        <r>
          <rPr>
            <b/>
            <sz val="9"/>
            <color indexed="81"/>
            <rFont val="Tahoma"/>
            <family val="2"/>
          </rPr>
          <t>Amy Macrellis:</t>
        </r>
        <r>
          <rPr>
            <sz val="9"/>
            <color indexed="81"/>
            <rFont val="Tahoma"/>
            <family val="2"/>
          </rPr>
          <t xml:space="preserve">
GlobalID for project limits</t>
        </r>
      </text>
    </comment>
    <comment ref="BB251" authorId="4" shapeId="0" xr:uid="{877B8DB7-A40B-49AE-94F2-A97C389245D8}">
      <text>
        <r>
          <rPr>
            <b/>
            <sz val="9"/>
            <color indexed="81"/>
            <rFont val="Tahoma"/>
            <family val="2"/>
          </rPr>
          <t>Polly Crocker:</t>
        </r>
        <r>
          <rPr>
            <sz val="9"/>
            <color indexed="81"/>
            <rFont val="Tahoma"/>
            <family val="2"/>
          </rPr>
          <t xml:space="preserve">
No storage volume</t>
        </r>
      </text>
    </comment>
    <comment ref="Y278" authorId="3" shapeId="0" xr:uid="{F1AE02DA-FFC9-4E37-A232-233DCA2DA002}">
      <text>
        <r>
          <rPr>
            <b/>
            <sz val="9"/>
            <color indexed="81"/>
            <rFont val="Tahoma"/>
            <family val="2"/>
          </rPr>
          <t>Amy Macrellis:</t>
        </r>
        <r>
          <rPr>
            <sz val="9"/>
            <color indexed="81"/>
            <rFont val="Tahoma"/>
            <family val="2"/>
          </rPr>
          <t xml:space="preserve">
Updated per VTRC study watershed characterization, 2024 09 18</t>
        </r>
      </text>
    </comment>
    <comment ref="AF278" authorId="3" shapeId="0" xr:uid="{23FBEA6B-92FC-4F72-9DA0-B83D18323CFA}">
      <text>
        <r>
          <rPr>
            <b/>
            <sz val="9"/>
            <color indexed="81"/>
            <rFont val="Tahoma"/>
            <family val="2"/>
          </rPr>
          <t>Amy Macrellis:</t>
        </r>
        <r>
          <rPr>
            <sz val="9"/>
            <color indexed="81"/>
            <rFont val="Tahoma"/>
            <family val="2"/>
          </rPr>
          <t xml:space="preserve">
Updated per watershed characterization in VTRC study, 2024 09 18</t>
        </r>
      </text>
    </comment>
    <comment ref="AN278" authorId="3" shapeId="0" xr:uid="{D03EA17E-D6BD-46E3-933D-2F224F1CCE82}">
      <text>
        <r>
          <rPr>
            <b/>
            <sz val="9"/>
            <color indexed="81"/>
            <rFont val="Tahoma"/>
            <family val="2"/>
          </rPr>
          <t>Amy Macrellis:</t>
        </r>
        <r>
          <rPr>
            <sz val="9"/>
            <color indexed="81"/>
            <rFont val="Tahoma"/>
            <family val="2"/>
          </rPr>
          <t xml:space="preserve">
Updated to correspond with results of VTRC - UVM study, 2024 09 18</t>
        </r>
      </text>
    </comment>
    <comment ref="AV278" authorId="3" shapeId="0" xr:uid="{936C43A4-8812-453E-930E-9352CCF08784}">
      <text>
        <r>
          <rPr>
            <b/>
            <sz val="9"/>
            <color indexed="81"/>
            <rFont val="Tahoma"/>
            <family val="2"/>
          </rPr>
          <t>Amy Macrellis:</t>
        </r>
        <r>
          <rPr>
            <sz val="9"/>
            <color indexed="81"/>
            <rFont val="Tahoma"/>
            <family val="2"/>
          </rPr>
          <t xml:space="preserve">
Updated practice efficiency manually per results of VTRC022-003
2024 09 18</t>
        </r>
      </text>
    </comment>
    <comment ref="X283" authorId="5" shapeId="0" xr:uid="{044B65BD-65FC-4BC6-ADDE-F22F44A78EAF}">
      <text>
        <t>[Threaded comment]
Your version of Excel allows you to read this threaded comment; however, any edits to it will get removed if the file is opened in a newer version of Excel. Learn more: https://go.microsoft.com/fwlink/?linkid=870924
Comment:
    What to use for Media Filter Drain?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Schelley, Emily</author>
  </authors>
  <commentList>
    <comment ref="A2" authorId="0" shapeId="0" xr:uid="{A578DF90-7111-462D-8FB3-ADE936E49A4A}">
      <text>
        <r>
          <rPr>
            <sz val="9"/>
            <color indexed="81"/>
            <rFont val="Tahoma"/>
            <family val="2"/>
          </rPr>
          <t>An indentifier assigned by the MS4, such as from a FRP or PCP.</t>
        </r>
      </text>
    </comment>
  </commentList>
</comments>
</file>

<file path=xl/sharedStrings.xml><?xml version="1.0" encoding="utf-8"?>
<sst xmlns="http://schemas.openxmlformats.org/spreadsheetml/2006/main" count="5638" uniqueCount="890">
  <si>
    <t>BMP Tracking Table Instructions</t>
  </si>
  <si>
    <t>Last updated 2/12/2020</t>
  </si>
  <si>
    <t>The workbook is designed to track stormwater practices that are owned or controlled by an MS4.  There are two tabs:</t>
  </si>
  <si>
    <r>
      <t>·</t>
    </r>
    <r>
      <rPr>
        <sz val="7"/>
        <color theme="1"/>
        <rFont val="Times New Roman"/>
        <family val="1"/>
      </rPr>
      <t xml:space="preserve">         </t>
    </r>
    <r>
      <rPr>
        <sz val="11"/>
        <color theme="1"/>
        <rFont val="Calibri"/>
        <family val="2"/>
        <scheme val="minor"/>
      </rPr>
      <t>BMP P Tracking Table – used to track practice maintenance, construction, and phosphorus accounting of practices included in a phosphorus control plan (PCP) or flow restoration plan (FRP).</t>
    </r>
  </si>
  <si>
    <r>
      <t>·</t>
    </r>
    <r>
      <rPr>
        <sz val="7"/>
        <color theme="1"/>
        <rFont val="Times New Roman"/>
        <family val="1"/>
      </rPr>
      <t xml:space="preserve">         </t>
    </r>
    <r>
      <rPr>
        <sz val="11"/>
        <color theme="1"/>
        <rFont val="Calibri"/>
        <family val="2"/>
        <scheme val="minor"/>
      </rPr>
      <t>Maintenance – used to track maintenance of practices that are not included in a phosphorus control plan or flow restoration plan, but the MS4 has taken full legal responsibility for.</t>
    </r>
  </si>
  <si>
    <t>Some cells have a dropdown that appear when the cell is selected.  Please select one of the values from the list, rather than typing in a value manually.  If a value is input that doesn’t match one of the expected values, formulas in the workbook may break.</t>
  </si>
  <si>
    <t>Do not put anything in cells that have been grey out         .  This could break equations.</t>
  </si>
  <si>
    <t>If the appropriate FRP Watershed is selected, the drainage area and lake segment will autofill, although it may not work if you delete the cell contents. Drainage areas and Lake Segments can be found on the Natural Resources Atlas (linked below) by selecting ANR Basemap Data&gt; Lake Segment Basins.  Stormwater Impaired Watersheds are found under Stormwater&gt;Stormwater Impaired Watersheds.</t>
  </si>
  <si>
    <t>http://anrmaps.vermont.gov/websites/anra5/</t>
  </si>
  <si>
    <r>
      <t xml:space="preserve">Some cells of the worksheet are locked to protect the formulas. Where this is the case , the field name is marked with an </t>
    </r>
    <r>
      <rPr>
        <b/>
        <sz val="11"/>
        <color theme="1"/>
        <rFont val="Calibri"/>
        <family val="2"/>
        <scheme val="minor"/>
      </rPr>
      <t>*</t>
    </r>
    <r>
      <rPr>
        <sz val="11"/>
        <color theme="1"/>
        <rFont val="Calibri"/>
        <family val="2"/>
        <scheme val="minor"/>
      </rPr>
      <t xml:space="preserve">.  If errors are discovered please contact: </t>
    </r>
  </si>
  <si>
    <t>emily.schelley@vermont.gov</t>
  </si>
  <si>
    <t>What can be included for phosphorus credit?</t>
  </si>
  <si>
    <r>
      <rPr>
        <sz val="12"/>
        <rFont val="Calibri"/>
        <family val="2"/>
      </rPr>
      <t xml:space="preserve">•    </t>
    </r>
    <r>
      <rPr>
        <sz val="12"/>
        <rFont val="Calibri"/>
        <family val="2"/>
        <scheme val="minor"/>
      </rPr>
      <t>Increase in treatment built during or after 2002 on existing impervious</t>
    </r>
  </si>
  <si>
    <r>
      <rPr>
        <sz val="11"/>
        <color theme="1"/>
        <rFont val="Calibri"/>
        <family val="2"/>
      </rPr>
      <t xml:space="preserve">•    </t>
    </r>
    <r>
      <rPr>
        <sz val="11"/>
        <color theme="1"/>
        <rFont val="Calibri"/>
        <family val="2"/>
        <scheme val="minor"/>
      </rPr>
      <t>Treatment of new impervious after 2010 that was not required to obtain a state stormwater permit</t>
    </r>
  </si>
  <si>
    <t>Storage Volumes</t>
  </si>
  <si>
    <t>The storage volume is the maximum amount of water that a practice can hold at one time. The storage volume that should be used for credit calculations is typically the volume of water can hold during storms up to the 1-year return storm. Some practices are designed to provide attenuation and safe passage of larger storms, such as the 10- or 100-year return storm; however, this additional volume typically does not stay in the practice long enough to receive much treatment and shouldn’t be included in credit calculations.</t>
  </si>
  <si>
    <t>Storage Volume for Ponds and Wetlands</t>
  </si>
  <si>
    <t>For wet ponds and gravel wetlands, there is typically a large outlet at or near the top of the outlet riser that allows larger storms to exit the practice quickly.  Storage above that level is considered flood storage and should be excluded from credit calculations.</t>
  </si>
  <si>
    <t>Generalized diagram off a wet pond</t>
  </si>
  <si>
    <t>Modeling documentation for the practice should include a stage vs. storage table that can be used to determine the appropriate volume for credit calculations.</t>
  </si>
  <si>
    <t>HydroCAD summary of a wet pond showing the correct storage volume for credit calculations</t>
  </si>
  <si>
    <t xml:space="preserve">Many ponds built prior to the adoption of the 2002 Vermont Stormwater Management Manual were designed for peak flow attenuation and have neither a permanent pool nor extended detention. Ponds lacking these features are not assigned a phosphorus credit as they do not provide significant treatment. </t>
  </si>
  <si>
    <t>Storage Volume for Grass Channels</t>
  </si>
  <si>
    <t>Grass channels were a popular treatment practice under the 2002 Vermont Stormwater Management Manual (VSMM). Grass channels were typically sized to provide treatment for the water quality storm, which was the 0.9” storm under the 2002 VSMM. Grass channel typically have volume to convey large storms but credit calculations should be based on the peak volume of water in the swale during the water quality storm.</t>
  </si>
  <si>
    <t>HydroCAD summary of a grass channel (swale) showing the correct storage volume for credit calculations</t>
  </si>
  <si>
    <t>Storage Volume of Filters and Bioretention Practices</t>
  </si>
  <si>
    <t xml:space="preserve">When calculating the storage of a filter media, the porosity (n) of 0.33 should be used. The same rule about excluding flood storage in storage calculations as for ponds and wetlands applies to these practices.  </t>
  </si>
  <si>
    <t xml:space="preserve">BMP Identification </t>
  </si>
  <si>
    <t>Design, Construction and Maintenance</t>
  </si>
  <si>
    <t>Basin Information</t>
  </si>
  <si>
    <t>BMP Tracking Specifications</t>
  </si>
  <si>
    <t>Phosphorus Calculations</t>
  </si>
  <si>
    <t>Drainage Area Prior to Upgrade</t>
  </si>
  <si>
    <t xml:space="preserve">BMP Specifications Prior to Upgrade </t>
  </si>
  <si>
    <t>VTRANS NOTES</t>
  </si>
  <si>
    <t xml:space="preserve">Unique ID </t>
  </si>
  <si>
    <t>Project Name</t>
  </si>
  <si>
    <t>Land Owner</t>
  </si>
  <si>
    <t xml:space="preserve">Responsible Party </t>
  </si>
  <si>
    <t>Latitude (decimal degrees)</t>
  </si>
  <si>
    <t>Longitude (decimal degrees)</t>
  </si>
  <si>
    <t>New Impervious (acres)</t>
  </si>
  <si>
    <t>Redeveloped Impervious (acres)</t>
  </si>
  <si>
    <t>Drainage area (acres)</t>
  </si>
  <si>
    <t>Existing SW permit number (if applicable)</t>
  </si>
  <si>
    <t>S/N</t>
  </si>
  <si>
    <t>Watershed Projects Database ID (if known)</t>
  </si>
  <si>
    <t>Part of MS4/ Incorporated into MS4</t>
  </si>
  <si>
    <t>Cost Estimate (optional)</t>
  </si>
  <si>
    <t xml:space="preserve">BMP Status </t>
  </si>
  <si>
    <t>Year Planned Construction</t>
  </si>
  <si>
    <t>Date Constructed</t>
  </si>
  <si>
    <t>Date of last inspection</t>
  </si>
  <si>
    <t>Maintenance needed?</t>
  </si>
  <si>
    <t>Applicable FRP</t>
  </si>
  <si>
    <t>LC TMDL Drainage Area</t>
  </si>
  <si>
    <t>LC TMDL Lake Segment</t>
  </si>
  <si>
    <t>Eligible for Phosphorus Credit?</t>
  </si>
  <si>
    <t xml:space="preserve">BMP Type </t>
  </si>
  <si>
    <t>Impervious area  (acres)</t>
  </si>
  <si>
    <t>Impervious land use</t>
  </si>
  <si>
    <t>Pervious Entry Method</t>
  </si>
  <si>
    <t>Pervious HSG A</t>
  </si>
  <si>
    <t>Pervious HSG B</t>
  </si>
  <si>
    <t>Pervious HSG C</t>
  </si>
  <si>
    <t xml:space="preserve">Pervious HSG D </t>
  </si>
  <si>
    <t>Total Pervious area (acres)</t>
  </si>
  <si>
    <t>Pervious Land Use</t>
  </si>
  <si>
    <t>Bottom Width (ft)</t>
  </si>
  <si>
    <t>Average Depth at Peak Storage (ft)</t>
  </si>
  <si>
    <t>Side Slope (ft/ft)</t>
  </si>
  <si>
    <t>Length Provided (ft)</t>
  </si>
  <si>
    <t>Min Length Required (ft)</t>
  </si>
  <si>
    <t xml:space="preserve">Manually entered practice effiency </t>
  </si>
  <si>
    <r>
      <t>Storage volume (ft</t>
    </r>
    <r>
      <rPr>
        <b/>
        <vertAlign val="superscript"/>
        <sz val="12"/>
        <color theme="1"/>
        <rFont val="Calibri"/>
        <family val="2"/>
        <scheme val="minor"/>
      </rPr>
      <t>3</t>
    </r>
    <r>
      <rPr>
        <b/>
        <sz val="12"/>
        <color theme="1"/>
        <rFont val="Calibri"/>
        <family val="2"/>
        <scheme val="minor"/>
      </rPr>
      <t>)</t>
    </r>
  </si>
  <si>
    <t>Infiltration rate (in/hr)</t>
  </si>
  <si>
    <t>Drainage Area Dominant Underlying HSG</t>
  </si>
  <si>
    <t>BMP Underlying HSG</t>
  </si>
  <si>
    <t>* Load Before Treatment (kg/yr)</t>
  </si>
  <si>
    <t>* Storage Depth (inches)</t>
  </si>
  <si>
    <t>Upper Efficiency - Lower Efficiency</t>
  </si>
  <si>
    <t>Percent of Storage Depth Step</t>
  </si>
  <si>
    <t>* Practice Efficiency</t>
  </si>
  <si>
    <t>* P Reduction (kg/year)</t>
  </si>
  <si>
    <t>Manual P Reduction (kg/yr)</t>
  </si>
  <si>
    <t>Is this an upgrade to an existing BMP?</t>
  </si>
  <si>
    <t>Has the upgrade changed the drainage area?</t>
  </si>
  <si>
    <t>% Credit to TS4</t>
  </si>
  <si>
    <t>*P Credit (kg/yr)</t>
  </si>
  <si>
    <t>Prior Impervious area (acres)</t>
  </si>
  <si>
    <t>Pervious Entry Method 2</t>
  </si>
  <si>
    <t xml:space="preserve"> HSG A </t>
  </si>
  <si>
    <t xml:space="preserve"> HSG B</t>
  </si>
  <si>
    <t>HSG C</t>
  </si>
  <si>
    <t>HSG D</t>
  </si>
  <si>
    <t xml:space="preserve">Total Pervious Area </t>
  </si>
  <si>
    <t>BMP type prior to upgrade</t>
  </si>
  <si>
    <r>
      <t>Previous storage volume (ft</t>
    </r>
    <r>
      <rPr>
        <b/>
        <vertAlign val="superscript"/>
        <sz val="12"/>
        <color theme="1"/>
        <rFont val="Calibri"/>
        <family val="2"/>
        <scheme val="minor"/>
      </rPr>
      <t>3</t>
    </r>
    <r>
      <rPr>
        <b/>
        <sz val="12"/>
        <color theme="1"/>
        <rFont val="Calibri"/>
        <family val="2"/>
        <scheme val="minor"/>
      </rPr>
      <t>)</t>
    </r>
  </si>
  <si>
    <t>Infiltration rate prior to upgrade (in/hr)</t>
  </si>
  <si>
    <t>* Prior Load Before Treatment (kg/year)</t>
  </si>
  <si>
    <t>* Prior Storage Depth (inches)</t>
  </si>
  <si>
    <t>Upper Efficiency - Lower Efficiency4</t>
  </si>
  <si>
    <t>Percent of Storage Depth Step5</t>
  </si>
  <si>
    <t>* Prior Practice Efficiency</t>
  </si>
  <si>
    <t>* Estimated P removal of Prior Practice (kg/yr)</t>
  </si>
  <si>
    <t>Manual P Reduction - Prior Practice (kg/yr)</t>
  </si>
  <si>
    <t>Notes and Assumptions</t>
  </si>
  <si>
    <t>{737DF069-165F-495B-9181-11203A93BD5F}</t>
  </si>
  <si>
    <t>Colchester D5 ":Fort" Site Redevelopement</t>
  </si>
  <si>
    <t>VTrans</t>
  </si>
  <si>
    <t>Vtrans TS4</t>
  </si>
  <si>
    <t>6363-INDS</t>
  </si>
  <si>
    <t>S/N 001</t>
  </si>
  <si>
    <t>Complete</t>
  </si>
  <si>
    <t>Malletts Bay Direct Drainage</t>
  </si>
  <si>
    <t>Yes</t>
  </si>
  <si>
    <t>Wet pond/ Created Wetland</t>
  </si>
  <si>
    <t>Paved Roads - Facilities</t>
  </si>
  <si>
    <t>Total Pervious</t>
  </si>
  <si>
    <t xml:space="preserve">Developed Pervious </t>
  </si>
  <si>
    <t>A</t>
  </si>
  <si>
    <t>No</t>
  </si>
  <si>
    <t>Offset Pond. Maintenance agreement with Town. Town to maintain. Meet with town to share credit.</t>
  </si>
  <si>
    <t>{F8189265-3B7F-4E2F-9B56-08EA7039BD3A}</t>
  </si>
  <si>
    <t>Grass Channel</t>
  </si>
  <si>
    <t xml:space="preserve">Grass Swale 1 </t>
  </si>
  <si>
    <t>{117DB431-067E-478B-9472-345F9E4A4BE1}</t>
  </si>
  <si>
    <t>Grass Swale 2</t>
  </si>
  <si>
    <t>{03FB9B58-EAEB-47E3-9DE4-E5D8350D9F23}</t>
  </si>
  <si>
    <t>S/N 002</t>
  </si>
  <si>
    <t>Grass Swale 3</t>
  </si>
  <si>
    <t>{2AA3C703-BD92-4860-9CB1-65C62720033C}</t>
  </si>
  <si>
    <t>Middlesex D6 garage expansion</t>
  </si>
  <si>
    <t>4578-9010</t>
  </si>
  <si>
    <t>Winooski River</t>
  </si>
  <si>
    <t>Reduction of exisitng impervious</t>
  </si>
  <si>
    <t>Paved Roads, 0-10% Slope, Moderate Hydrologic Connectivity</t>
  </si>
  <si>
    <t>Treatment is impervious removal credit. No modeling or calculations of area draining to it.</t>
  </si>
  <si>
    <t>{6DBCF117-9898-4AC1-BC49-1E940F781328}</t>
  </si>
  <si>
    <t>Moretown-Middlesex BRS0284(14)</t>
  </si>
  <si>
    <t>4278-9015</t>
  </si>
  <si>
    <t>Disconnection</t>
  </si>
  <si>
    <t>B/D</t>
  </si>
  <si>
    <t>{21161F9A-B46D-414B-A05E-72A0061D4638}</t>
  </si>
  <si>
    <t>{3D810B6C-4F08-493B-B1AE-A97A43AC49BD}</t>
  </si>
  <si>
    <t>S/N 003a</t>
  </si>
  <si>
    <t>Paved Roads, 0-10% Slope, High Hydrologic Connectivity</t>
  </si>
  <si>
    <t>{889F11E7-1644-4036-8A6C-339E41D91F41}</t>
  </si>
  <si>
    <t>S/N 003</t>
  </si>
  <si>
    <t>{5C8C0B67-37EB-490D-8D9D-467D2625FABC}</t>
  </si>
  <si>
    <t>S/N 004</t>
  </si>
  <si>
    <t xml:space="preserve">B </t>
  </si>
  <si>
    <t>Grass swale is now disconnection with no modeling</t>
  </si>
  <si>
    <t>{D76F9889-0F77-43BF-A48C-99A0B2E9C71C}</t>
  </si>
  <si>
    <t>S/N 005</t>
  </si>
  <si>
    <t>B</t>
  </si>
  <si>
    <t>{19921B02-3B7A-4182-A52E-4D4AE0EBA06A}</t>
  </si>
  <si>
    <t>S/N 006</t>
  </si>
  <si>
    <t>{08D92951-A83C-4C9A-941B-A1EE005B8F2A}</t>
  </si>
  <si>
    <t>S/N 007</t>
  </si>
  <si>
    <t>{2FB8E7B3-0AEB-4499-B843-6E30385BB950}</t>
  </si>
  <si>
    <t>St. Albans Park &amp; Ride</t>
  </si>
  <si>
    <t>NA</t>
  </si>
  <si>
    <t>Stevens Brook</t>
  </si>
  <si>
    <t>St. Albans Bay Direct Drainage</t>
  </si>
  <si>
    <t>Gravel Wetland</t>
  </si>
  <si>
    <t>C</t>
  </si>
  <si>
    <t>Not sure what alternative design they picked.</t>
  </si>
  <si>
    <t>{18D48082-A77A-4BB3-818F-E55A6CF5655B}</t>
  </si>
  <si>
    <t>Waterbury Park and Ride Infiltration Trech</t>
  </si>
  <si>
    <t>Infiltration Trench</t>
  </si>
  <si>
    <t>Developed Impervious</t>
  </si>
  <si>
    <t>1.02 in/hr</t>
  </si>
  <si>
    <t>No modeling/data</t>
  </si>
  <si>
    <t>{EA615B6A-10E5-4D45-B4BF-4F0401FD545E}</t>
  </si>
  <si>
    <t>Cornwall BRS0172(6)</t>
  </si>
  <si>
    <t>5606-INDS</t>
  </si>
  <si>
    <t>Otter Creek</t>
  </si>
  <si>
    <t>Grass Channel 3</t>
  </si>
  <si>
    <t>{DF0A3573-C883-4323-9086-29D8910C2DED}</t>
  </si>
  <si>
    <t>Grass Channel 4a</t>
  </si>
  <si>
    <t>{850F2626-4ABB-46AF-B29F-A2201E6FCFA9}</t>
  </si>
  <si>
    <t>Grass Channel 4b</t>
  </si>
  <si>
    <t>{D0A52EE8-24B2-471A-8649-09159D479EAE}</t>
  </si>
  <si>
    <t>Grass Channel 5a</t>
  </si>
  <si>
    <t>{FB75C4B6-9E8F-4865-BBF8-8DA8B2AD7DA9}</t>
  </si>
  <si>
    <t>Grass Channel 5b</t>
  </si>
  <si>
    <t>{33B76283-1CB4-4BDC-9EAA-7473A77F2B0B}</t>
  </si>
  <si>
    <t>Grass Channel 6a</t>
  </si>
  <si>
    <t>{1CAAC73B-2F51-4EAB-9DE7-4FDFADCD1819}</t>
  </si>
  <si>
    <t>Grass Channel 6b</t>
  </si>
  <si>
    <t>{70C779D9-5816-4691-B8C7-5585BF874433}</t>
  </si>
  <si>
    <t>East Montpelier STPG 028-3(35)S US2/ VT14 inter</t>
  </si>
  <si>
    <t>5517-INDS.R</t>
  </si>
  <si>
    <t>Grass Channel 1a</t>
  </si>
  <si>
    <t>{E75643AF-363A-4417-ABA0-91395DFD85D8}</t>
  </si>
  <si>
    <t>D</t>
  </si>
  <si>
    <t>Grass Channel 1b</t>
  </si>
  <si>
    <t>{895AA51C-BA2A-464F-BAFF-248726D8D0C5}</t>
  </si>
  <si>
    <t>Grass Channel 1c</t>
  </si>
  <si>
    <t>{B3601E46-9A07-4E26-8100-A01EC7D7A7C6}</t>
  </si>
  <si>
    <t>Dry Swale (w/ underdrain)</t>
  </si>
  <si>
    <t xml:space="preserve">Dry Swale 1d. </t>
  </si>
  <si>
    <t>{0E22B21C-E521-4456-93CE-91493921B480}</t>
  </si>
  <si>
    <t>Highgate Franklin County Field Days</t>
  </si>
  <si>
    <t>3065-INDS</t>
  </si>
  <si>
    <t>Mississquoi River</t>
  </si>
  <si>
    <t>Grass channel credit. No water makes it to the swale in a 1 year storm</t>
  </si>
  <si>
    <t>{B8619FBD-A5D6-4EB9-AC42-382EAF85324C}</t>
  </si>
  <si>
    <t>2.41 in/hr</t>
  </si>
  <si>
    <t>Not confident on impervious area. No water makes it to the swale in a 1 year storm</t>
  </si>
  <si>
    <t>{6EEB0781-7338-4180-9E3A-1379A8ADDE93}</t>
  </si>
  <si>
    <t>Milton STP 5800 (2)</t>
  </si>
  <si>
    <t>6019-9010</t>
  </si>
  <si>
    <t>Lamoille River</t>
  </si>
  <si>
    <t>Grass Channel 1-A</t>
  </si>
  <si>
    <t>{276BFE79-CBB7-4318-90F3-4C5BF07F75C2}</t>
  </si>
  <si>
    <t>{E595B79D-B51E-4BC4-B217-E0798CC694BF}</t>
  </si>
  <si>
    <t>{9DCFB429-0157-4A08-9331-F9AC03FBA6CD}</t>
  </si>
  <si>
    <t>{CF12A766-1B0F-4713-B5B2-637EEBDAF2F3}</t>
  </si>
  <si>
    <t>Pittsford-Brandon Seg 5</t>
  </si>
  <si>
    <t>3628-9015</t>
  </si>
  <si>
    <t>Grass Channel 1-a</t>
  </si>
  <si>
    <t>{11092E92-A7A5-4950-8E67-4D9FC1385A62}</t>
  </si>
  <si>
    <t>Grass Channel 1-b</t>
  </si>
  <si>
    <t>{22798933-0A9E-45D2-9B5C-48056AAECBA9}</t>
  </si>
  <si>
    <t>Grass Channel 2-a</t>
  </si>
  <si>
    <t>{6963136D-20CF-4FCF-83FD-BD6C827D45A0}</t>
  </si>
  <si>
    <t>Grass Channel 3-a</t>
  </si>
  <si>
    <t>{F1F19005-FDB4-4897-988E-6AD2A2887488}</t>
  </si>
  <si>
    <t>Grass Channel 3-b</t>
  </si>
  <si>
    <t>Grass Channel 4-a. Add to map</t>
  </si>
  <si>
    <t>{EFCE915F-FBC3-474E-802D-525F1921D8E0}</t>
  </si>
  <si>
    <t>Grass Channel 4-b.</t>
  </si>
  <si>
    <t>{8E07C15F-A654-45F5-8F11-196E854B9E43}</t>
  </si>
  <si>
    <t>Grass Channel 4-c</t>
  </si>
  <si>
    <t>{669AAC9F-877F-48FD-9C6B-80F130370096}</t>
  </si>
  <si>
    <t>Grass Channel 4-d</t>
  </si>
  <si>
    <t>Grass Channel 4-e. Add to map</t>
  </si>
  <si>
    <t>Grass Channel 5-a. Combine swales in map to have one global ID</t>
  </si>
  <si>
    <t>{F9FBADF0-2D9A-4EB1-95AA-B2F67BF6F136}</t>
  </si>
  <si>
    <t>Paved Roads, 0-10% Slope, Low Hydrologic Connectivity</t>
  </si>
  <si>
    <t>Grass Channel 6-a</t>
  </si>
  <si>
    <t>{B086A4BD-4EE6-42B9-88E5-873D0C764DB7}</t>
  </si>
  <si>
    <t>Grass Channel 6-b.</t>
  </si>
  <si>
    <t>{CA12EEF1-A2C1-4A9F-A118-6D4CACB0E801}</t>
  </si>
  <si>
    <t>Grass Channel 6-c</t>
  </si>
  <si>
    <t>{613FC778-206E-4E16-ACF1-78929F8C6E8F}</t>
  </si>
  <si>
    <t>Grass Channel 6-d</t>
  </si>
  <si>
    <t>{E225E511-7F8E-4C7F-BB9A-463079DD7491}</t>
  </si>
  <si>
    <t>Grass Channel 6-e</t>
  </si>
  <si>
    <t>{01146D14-E634-4D2C-B368-8D2776F3806E}</t>
  </si>
  <si>
    <t>Grass Channel 7-a</t>
  </si>
  <si>
    <t>{6479D655-7C54-4986-95F2-7D243013B5A1}</t>
  </si>
  <si>
    <t>Grass Channel 7-b</t>
  </si>
  <si>
    <t>{DB7EEB8B-3B8F-4DD0-BF30-1D5EE498EA04}</t>
  </si>
  <si>
    <t>Grass Channel 7-c</t>
  </si>
  <si>
    <t>{745FD608-4135-4A27-91EB-D79F6C559B68}</t>
  </si>
  <si>
    <t>Grass Channel 7-d</t>
  </si>
  <si>
    <t>{E3601B9A-886F-42C5-97E9-A5E46266FA78}</t>
  </si>
  <si>
    <t>S/N 009</t>
  </si>
  <si>
    <t>Grass Channel 9-a</t>
  </si>
  <si>
    <t>{7948D2F1-2AC5-46D0-9766-99D975D7C80A}</t>
  </si>
  <si>
    <t>Grass Channel 9-b</t>
  </si>
  <si>
    <t>{5E066616-F8D4-44BC-AE16-CD4BEF1C51B4}</t>
  </si>
  <si>
    <t>Grass Channel 9-c</t>
  </si>
  <si>
    <t>{5E171EA8-6B68-4A04-B3EB-439E1459C4F6}</t>
  </si>
  <si>
    <t>S/N 011</t>
  </si>
  <si>
    <t>Grass Channel 11-a</t>
  </si>
  <si>
    <t>Grass Channel 11-b. Add to map</t>
  </si>
  <si>
    <t>{C35D66AE-4F7C-48C4-BA2F-F04FB43198EA}</t>
  </si>
  <si>
    <t>Grass Channel 11-c</t>
  </si>
  <si>
    <t>Cabot-Danville FEGC F028-3(26) C1</t>
  </si>
  <si>
    <t>4022-INDS.R</t>
  </si>
  <si>
    <t>S/N 100+00</t>
  </si>
  <si>
    <t>GC 100-103. Mapping: Split swale with below swale</t>
  </si>
  <si>
    <t>S/N 108+00</t>
  </si>
  <si>
    <t>GC 103-108. Mapping: Split swale with above swale</t>
  </si>
  <si>
    <t>GC 108-111. Mapping: Split swale with above swale</t>
  </si>
  <si>
    <t>{15DE9D14-3B6D-48E7-82E4-26B73A7AAA8E}</t>
  </si>
  <si>
    <t>S/N 111+50</t>
  </si>
  <si>
    <t>GC 111+50-114. Mapping: Grass swale looks long</t>
  </si>
  <si>
    <t>S/N 119+00</t>
  </si>
  <si>
    <t>GC 119 -121. Mapping: Split swale with below</t>
  </si>
  <si>
    <t>S/N 121+67L</t>
  </si>
  <si>
    <t>GC 121-121+67. Mapping: Split with swale above and below</t>
  </si>
  <si>
    <t xml:space="preserve">GC 121+67-131. Mapping: split with above. </t>
  </si>
  <si>
    <t>S/N 131+93</t>
  </si>
  <si>
    <t xml:space="preserve">GC131-131+93. Mapping: split with below. </t>
  </si>
  <si>
    <t>GC131+93-136. Mapping: split with above and below</t>
  </si>
  <si>
    <t>S/N 137+00</t>
  </si>
  <si>
    <t>GC136-137. Mapping: split with above and below</t>
  </si>
  <si>
    <t>GC 137-144. Mapping: add some of above</t>
  </si>
  <si>
    <t>S/N 144+50</t>
  </si>
  <si>
    <t>GC 144+50-151</t>
  </si>
  <si>
    <t>{73C23A3B-3A03-441E-9885-83CA9014F4F5}</t>
  </si>
  <si>
    <t>GC 146-149</t>
  </si>
  <si>
    <t>{67DC6E00-A985-44C2-91C1-FEF8BD28CC39}</t>
  </si>
  <si>
    <t>S/N 156+00</t>
  </si>
  <si>
    <t>Forest</t>
  </si>
  <si>
    <t>GC 152+50-156.</t>
  </si>
  <si>
    <t>{FA2E04C1-91F5-4592-9AD7-EF756AC3D5BB}</t>
  </si>
  <si>
    <t>S/N 162+00</t>
  </si>
  <si>
    <t>GC 157-162</t>
  </si>
  <si>
    <t>{162E0F9B-5504-48D0-8B4B-CD7A72273473}</t>
  </si>
  <si>
    <t>Wet Swale</t>
  </si>
  <si>
    <t>Wet Swale 162-162+50</t>
  </si>
  <si>
    <t>{2125D222-336E-417D-A0FC-1989C7ECFE6F}</t>
  </si>
  <si>
    <t>S/N 165+50</t>
  </si>
  <si>
    <t>GC 163-165+50</t>
  </si>
  <si>
    <t>{5D001F5B-B4F1-4D12-BD20-71D4FFE4CB7D}</t>
  </si>
  <si>
    <t>GC 165+50-168+50</t>
  </si>
  <si>
    <t>{8885DB32-7796-4111-8DC2-DB66DC167569}</t>
  </si>
  <si>
    <t>S/N 170+20</t>
  </si>
  <si>
    <t>GC 168+50-170+20</t>
  </si>
  <si>
    <t>GC 170+20-172+50. Mapping: split with below</t>
  </si>
  <si>
    <t>S/N 173+50</t>
  </si>
  <si>
    <t>GC 172+50-173+50. Mapping: split with above</t>
  </si>
  <si>
    <t>{E0CC33D3-9349-4039-8152-8DA1CBAB967B}</t>
  </si>
  <si>
    <t>GC 173+50-177. Mapping: Shorten grass swale on map</t>
  </si>
  <si>
    <t>{76C57560-36F0-4089-A7DE-366907771D27}</t>
  </si>
  <si>
    <t>Richmond STP RS 0284(11) Checkerhouse truss</t>
  </si>
  <si>
    <t>5526-INDS.A</t>
  </si>
  <si>
    <t>{35A9278C-1D66-42F4-B617-062607DC0F18}</t>
  </si>
  <si>
    <t>{F0E83D62-8248-491A-B75A-CA59594882E5}</t>
  </si>
  <si>
    <t>1340 sq ft of treatment.</t>
  </si>
  <si>
    <t>{634681DD-7CB3-45FB-A923-F1DAE53A9432}</t>
  </si>
  <si>
    <t>St. Albans I-89 Median</t>
  </si>
  <si>
    <t>Rugg Brook</t>
  </si>
  <si>
    <t>Sand filter (infiltrating)</t>
  </si>
  <si>
    <t>0.17 in/hr</t>
  </si>
  <si>
    <t>SDC138.</t>
  </si>
  <si>
    <t>{5C9590DA-4036-4566-BB28-08521F7E6D0C}</t>
  </si>
  <si>
    <t>SDC75c. Features are separate in map but I'd like to keep it that way</t>
  </si>
  <si>
    <t>{FFE1C3BE-CF98-4158-8DCC-1288E9E91652}</t>
  </si>
  <si>
    <t>SDC80b. Need to map.</t>
  </si>
  <si>
    <t>{DE8AB20D-4B11-44DD-BC4F-214F21C1905A}</t>
  </si>
  <si>
    <t>St. Albans US7 and VT207 intersections (Walmart)</t>
  </si>
  <si>
    <t>6765-INDS</t>
  </si>
  <si>
    <t>GC1. Walmart Swale (short)</t>
  </si>
  <si>
    <t>{B42BC142-FA90-4FDE-8284-4E3A46BD62AF}</t>
  </si>
  <si>
    <t>GC2. Drive In Swale  (short)</t>
  </si>
  <si>
    <t>{4749ADB6-2FA6-4E0E-8696-F1610566804E}</t>
  </si>
  <si>
    <t>C/D</t>
  </si>
  <si>
    <t>GC3. Car Wash Swale (narrow/short)</t>
  </si>
  <si>
    <t>{8E5CEA15-AB58-4B0A-8E84-D4919B499F9B}</t>
  </si>
  <si>
    <t>GC4. 207 Swale (not constructed)</t>
  </si>
  <si>
    <t>{03238CDC-6B07-4B35-947B-B93B5FEA283E}</t>
  </si>
  <si>
    <t>GC5. Advanced Auto Swale (short)</t>
  </si>
  <si>
    <t>TimberCurbRemoval_ID1</t>
  </si>
  <si>
    <t>Brookfield-Montpelier IM 089-1(61)</t>
  </si>
  <si>
    <t>TimberCurbRemoval_ID2</t>
  </si>
  <si>
    <t>TimberCurbRemoval_ID3</t>
  </si>
  <si>
    <t>TimberCurbRemoval_ID4</t>
  </si>
  <si>
    <t>TimberCurbRemoval_ID5</t>
  </si>
  <si>
    <t>TimberCurbRemoval_ID6</t>
  </si>
  <si>
    <t>TimberCurbRemoval_ID7</t>
  </si>
  <si>
    <t>TimberCurbRemoval_ID8</t>
  </si>
  <si>
    <t>TimberCurbRemoval_ID9</t>
  </si>
  <si>
    <t>TimberCurbRemoval_ID10</t>
  </si>
  <si>
    <t>TimberCurbRemoval_ID11</t>
  </si>
  <si>
    <t>{D818D0DC-8B99-4865-9A4D-E00617FD0941}</t>
  </si>
  <si>
    <t>Cambridge BRF 027-1(4) &amp; STP 030-2(27)</t>
  </si>
  <si>
    <t>4765-INDS.A</t>
  </si>
  <si>
    <t>{CCE0C1CD-E0A9-413C-8C92-60261EB1DA62}</t>
  </si>
  <si>
    <t>Essex Town STP 5400(5)</t>
  </si>
  <si>
    <t>6300-INDS.R</t>
  </si>
  <si>
    <t>{BB2598EA-6D96-4D67-8FC5-AC6DF51BDF23}</t>
  </si>
  <si>
    <t>Morrisville/Stowe State Airport Terminal Improvements</t>
  </si>
  <si>
    <t>4272-9015.1A3</t>
  </si>
  <si>
    <t>{E7701978-44E5-4745-8098-EC9A19422240}</t>
  </si>
  <si>
    <t>{E1F6BB79-E5E5-40FC-875F-2BAF106162A0}</t>
  </si>
  <si>
    <t>Berlin STPG SGNL(40)</t>
  </si>
  <si>
    <t>7066-INDS</t>
  </si>
  <si>
    <t>{492F4F41-17A8-4A56-9261-35F2D1FF99E3}</t>
  </si>
  <si>
    <t>Colchester HES 0281(28)</t>
  </si>
  <si>
    <t>7427-INDS</t>
  </si>
  <si>
    <t>{58EE0A33-3BB7-470B-82F4-17128DA4EC47}</t>
  </si>
  <si>
    <t>Hyde Park HES 030-2(23) roundabout</t>
  </si>
  <si>
    <t>6263-INDS</t>
  </si>
  <si>
    <t>{07C12FF0-27AE-4AC4-A454-ECFBBCD26639}</t>
  </si>
  <si>
    <t>{9FB0C900-3BA0-4A18-B307-12ED772F1868}</t>
  </si>
  <si>
    <t xml:space="preserve">Morrisville Garage Infiltratration Chamber </t>
  </si>
  <si>
    <t>Infiltration Chambers</t>
  </si>
  <si>
    <t>8.27 in/hr</t>
  </si>
  <si>
    <t>{5B435A82-963C-480F-BB57-5309B8FA9306}</t>
  </si>
  <si>
    <t>Milton IM 089-3(66)</t>
  </si>
  <si>
    <t>7016-INDS.A</t>
  </si>
  <si>
    <t>{DD544FC8-2332-4BAA-AC88-47DFD8F905DD}</t>
  </si>
  <si>
    <t>{882FD75B-A6FA-4FF2-93E2-09F4B3C58A59}</t>
  </si>
  <si>
    <t>S/N 003/4</t>
  </si>
  <si>
    <t>{7F0C995E-0143-4B08-BEE8-0508EB9476DE}</t>
  </si>
  <si>
    <t>{263919A0-FE77-4876-8DAB-1A8CEA56DE1C}</t>
  </si>
  <si>
    <t>{EDF27943-3915-40AA-A55A-E98EF1D20F84}</t>
  </si>
  <si>
    <t>{289EFE59-7BFA-46DF-8CC8-538FC837B266}</t>
  </si>
  <si>
    <t>{B69D1207-C3BA-4744-8AE7-0BF4C487BD60}</t>
  </si>
  <si>
    <t>Charlotte F EGC 019-4(20)</t>
  </si>
  <si>
    <t>3438-INDS.R</t>
  </si>
  <si>
    <t>Otter Creek Direct Drainage</t>
  </si>
  <si>
    <t xml:space="preserve">Grass Swale 1A. </t>
  </si>
  <si>
    <t>{8D1652A1-F5B3-445A-9E6C-0347922F70D7}</t>
  </si>
  <si>
    <t>S/N 002A</t>
  </si>
  <si>
    <t xml:space="preserve">Grass Swale 2A. </t>
  </si>
  <si>
    <t>{C2FCB9C3-B0A4-4FA7-AD29-27493C4C8686}</t>
  </si>
  <si>
    <t>S/N 002B</t>
  </si>
  <si>
    <t>Grass Swale 2B</t>
  </si>
  <si>
    <t>{1DD24C2B-E38E-4FF5-87D1-CE8B4738C910}</t>
  </si>
  <si>
    <t>Grass Swale 2C</t>
  </si>
  <si>
    <t>{6D67B0C9-E5EC-4C8B-8424-E9FD0A08702F}</t>
  </si>
  <si>
    <t>S/N 003A</t>
  </si>
  <si>
    <t>Grass Swale 3A</t>
  </si>
  <si>
    <t>{0DA95418-C12B-4CB7-A4EC-F9B7ACDD2180}</t>
  </si>
  <si>
    <t>S/N 003B</t>
  </si>
  <si>
    <t>Grass Swale 3B</t>
  </si>
  <si>
    <t>{1EDB5172-CB05-466F-B5AC-45E5FF3ACA10}</t>
  </si>
  <si>
    <t>Grass Swale 3C</t>
  </si>
  <si>
    <t>{8A7B8ABB-D885-4AC4-A411-6BC88C224746}</t>
  </si>
  <si>
    <t>Grass Swale 3D</t>
  </si>
  <si>
    <t>{D0A47CA0-E6BE-4B4F-B5C4-E321BA4BFDA1}</t>
  </si>
  <si>
    <t>Grass Swale 3E</t>
  </si>
  <si>
    <t>{1D08C62A-A5D5-4281-9154-FA80EEE7FE81}</t>
  </si>
  <si>
    <t>S/N 003C</t>
  </si>
  <si>
    <t>Grass Swale 3F</t>
  </si>
  <si>
    <t xml:space="preserve">Clarendon - Rutland Airport Runway 1 Safety Area and Taxiway E Relocation </t>
  </si>
  <si>
    <t>3769-9015.A</t>
  </si>
  <si>
    <t>Add to map. Project constructed</t>
  </si>
  <si>
    <t>{19E65ECD-FB44-42C2-8172-BCE19B51629F}</t>
  </si>
  <si>
    <t>{C631CD06-DD89-4270-A70D-C9246EB33691}</t>
  </si>
  <si>
    <t>Colchester STP 5600(9) S</t>
  </si>
  <si>
    <t>5132-9010</t>
  </si>
  <si>
    <t>Not sure how to credit the swale. Maximum swale credit.</t>
  </si>
  <si>
    <t xml:space="preserve">	{4B2FB1F2-31AC-448C-9BC1-B7FE5643EF7F}</t>
  </si>
  <si>
    <t xml:space="preserve">Colchester STP 5600(9) S  </t>
  </si>
  <si>
    <t>VTrans TS4</t>
  </si>
  <si>
    <t>Swirl Separator</t>
  </si>
  <si>
    <t>{5CDD7548-3E66-4E2C-BAD4-219196F16FCC}</t>
  </si>
  <si>
    <t>Jericho STP HES 030-1(21)</t>
  </si>
  <si>
    <t>6947-INDS.A</t>
  </si>
  <si>
    <t>Grass Channel 1</t>
  </si>
  <si>
    <t>{8217AEC2-67E5-44DE-924A-32A6A4FA161E}</t>
  </si>
  <si>
    <t xml:space="preserve">Grass Channel 2. </t>
  </si>
  <si>
    <t>{CAA57568-55D8-4F4B-A906-F6C1403760CC}</t>
  </si>
  <si>
    <t>{A6111B6E-DC06-49D3-A8E2-E418FE02AE0D}</t>
  </si>
  <si>
    <t>Middlesex IM 089-2(41) (US2 over I-89)</t>
  </si>
  <si>
    <t>7145-INDS</t>
  </si>
  <si>
    <t>{D18A7993-23AF-4BF6-89CF-AB04C34BCC54}</t>
  </si>
  <si>
    <t>Morristown BRS 0240(3) &amp; STP HES 030-(28)</t>
  </si>
  <si>
    <t>7254-INDS</t>
  </si>
  <si>
    <t>{B110A486-1A0A-487C-B646-4C97ED598244}</t>
  </si>
  <si>
    <t>7254-9010</t>
  </si>
  <si>
    <t>Swale length may shorten</t>
  </si>
  <si>
    <t>{98FA7459-AB5F-42BF-9730-C26811D28253}</t>
  </si>
  <si>
    <t>Allen Brook FRP</t>
  </si>
  <si>
    <t>Allen Brook</t>
  </si>
  <si>
    <t>Median A</t>
  </si>
  <si>
    <t>{A740F11D-6D6A-4AE7-9851-441544B5CEC9}</t>
  </si>
  <si>
    <t>Median B</t>
  </si>
  <si>
    <t>{CDDDA03F-F5BF-4D8A-8618-D6356AB42792}</t>
  </si>
  <si>
    <t>WCA-4</t>
  </si>
  <si>
    <t>{EA8170CB-0D6E-4DB2-A8C0-30E16DFAF8D1}</t>
  </si>
  <si>
    <t xml:space="preserve">WCA-3. </t>
  </si>
  <si>
    <t>{BA69F298-EA50-406C-9A52-5FDA4EBF0AF8}</t>
  </si>
  <si>
    <t>WCA-2</t>
  </si>
  <si>
    <t>{1FD35EEC-B90F-4418-8698-1B766F247D80}</t>
  </si>
  <si>
    <t>WCA-TO</t>
  </si>
  <si>
    <t>{69CFC630-3DB7-43AA-8A15-A75F9907472B}</t>
  </si>
  <si>
    <t>WCA-1</t>
  </si>
  <si>
    <t>{A70DFD76-7C17-45F8-9A8D-478F6A0D09CB}</t>
  </si>
  <si>
    <t>A/D</t>
  </si>
  <si>
    <t>Median E</t>
  </si>
  <si>
    <t>{AD785131-8753-4C1B-8F3C-70DA2805BF36}</t>
  </si>
  <si>
    <t>Median F</t>
  </si>
  <si>
    <t>{9A8FC55A-8BD9-4349-A3EF-725888A9A42E}</t>
  </si>
  <si>
    <t>Median G</t>
  </si>
  <si>
    <t>{3A0F95A1-03A2-459E-9BB9-D63649A64E6A}</t>
  </si>
  <si>
    <t>Median H</t>
  </si>
  <si>
    <t>{2767241B-9844-46E3-9760-82AA130BF5C3}</t>
  </si>
  <si>
    <t>Median I</t>
  </si>
  <si>
    <t>{B2A7C3E3-F82A-4838-A24A-0A8E37AB4530}</t>
  </si>
  <si>
    <t xml:space="preserve">C </t>
  </si>
  <si>
    <t>Rest Area</t>
  </si>
  <si>
    <t>East Montpelier BRF037-1(7)</t>
  </si>
  <si>
    <t>4251-INDS.R</t>
  </si>
  <si>
    <t>Sand filter (w/ underdrain)</t>
  </si>
  <si>
    <t>{DA825942-BB4D-4999-967E-C1EDF0287D32}</t>
  </si>
  <si>
    <t>Vergennes PLAT (Ferrisburgh park and ride)</t>
  </si>
  <si>
    <t>3127-9015</t>
  </si>
  <si>
    <t>56 feet of disconnection</t>
  </si>
  <si>
    <t>{C7105EA9-582B-4945-A664-D7B8598FF4FA}</t>
  </si>
  <si>
    <t>{1CAA7997-9B74-4D90-94FC-EEF6661BDB49}</t>
  </si>
  <si>
    <t>Williston STP HES 5500 (12) shared use path</t>
  </si>
  <si>
    <t>7089-INDS</t>
  </si>
  <si>
    <t>Main Lake</t>
  </si>
  <si>
    <t>{375B17EE-6AF9-4C60-B4BB-94BFA6E89B1E}</t>
  </si>
  <si>
    <t xml:space="preserve">Williston STP-HES 5500(12) </t>
  </si>
  <si>
    <t>7089-9010</t>
  </si>
  <si>
    <t>{0C83EEC4-DE36-4298-BEC8-28E2FF19B437}</t>
  </si>
  <si>
    <t>Hinesburg HES 021-1(19)</t>
  </si>
  <si>
    <t>7720-INDS.A</t>
  </si>
  <si>
    <t>Laplatte River</t>
  </si>
  <si>
    <t>Shelburne Bay</t>
  </si>
  <si>
    <t>{58FAB0D1-9360-4D0D-A45D-6BDFD798DD7A}</t>
  </si>
  <si>
    <t>Morristown AV-FY19-011 Parallel Taxiway</t>
  </si>
  <si>
    <t>4272-9015.1A4</t>
  </si>
  <si>
    <t>Malletts Bay</t>
  </si>
  <si>
    <t>S/N 008</t>
  </si>
  <si>
    <t>{41FC48C0-146C-4FBF-9F4B-32BF0207C0F4}</t>
  </si>
  <si>
    <t>Bakersfield STP SCPR(11)</t>
  </si>
  <si>
    <t>7737-INDS</t>
  </si>
  <si>
    <t>Missisquoi Bay</t>
  </si>
  <si>
    <t>ANM 2023 09 28 - updated construction status</t>
  </si>
  <si>
    <t>{84006399-3BC6-412B-97FE-561D34B919DC}</t>
  </si>
  <si>
    <t>{F7728102-6C6F-45F1-8FD5-F8AE3A196784}</t>
  </si>
  <si>
    <t>{48147A25-8710-4A06-B468-FEE8A4FB478E}</t>
  </si>
  <si>
    <t>{4ECAC25C-B437-4027-A024-20C80D6EDC6D}</t>
  </si>
  <si>
    <t>{CEDE9251-94B9-4AD6-AA9A-8A4109CFE5DD}</t>
  </si>
  <si>
    <t>Colchester-Essex NH 030-1(34)   shared use path along vt15</t>
  </si>
  <si>
    <t>7757-INDS</t>
  </si>
  <si>
    <t>{C5565388-2626-41FF-89B4-CADB5AA7F3E2}</t>
  </si>
  <si>
    <t>Infiltration Basin</t>
  </si>
  <si>
    <t>0.52 in/hr</t>
  </si>
  <si>
    <t>{C712E45A-707E-409C-8696-2AE091C63A5C}</t>
  </si>
  <si>
    <t>{FDB202CA-07F3-4954-AA54-834FCCCE726A}</t>
  </si>
  <si>
    <t>Colchester-Essex NH 030-1(34)   shared use path along vt16</t>
  </si>
  <si>
    <t>Vtrans TS5</t>
  </si>
  <si>
    <t xml:space="preserve">	{482F9593-509E-4BFD-9721-512F51BD866A}</t>
  </si>
  <si>
    <t>Exit 19 South</t>
  </si>
  <si>
    <t>St. Albans Bay</t>
  </si>
  <si>
    <t>Extended Dry Detention pond</t>
  </si>
  <si>
    <t>ANM 2023 09 28 - updated with construction status.</t>
  </si>
  <si>
    <t xml:space="preserve">	{83A7A758-4FAE-4906-830C-8985D77C2FA3}</t>
  </si>
  <si>
    <t>Fairfield Rd / I-89</t>
  </si>
  <si>
    <t xml:space="preserve">	{1DDB9F69-A04D-47FF-91B9-0023781ED7A8}</t>
  </si>
  <si>
    <t>Median A1</t>
  </si>
  <si>
    <t xml:space="preserve">	{D100D892-A26E-40D3-BABF-42B7390EF22B}</t>
  </si>
  <si>
    <t>Median A2</t>
  </si>
  <si>
    <t xml:space="preserve">	{D2F235F6-793E-431F-B86B-4839A58D33BB}</t>
  </si>
  <si>
    <t>SDC105b</t>
  </si>
  <si>
    <t xml:space="preserve">	{3055C3CA-BF63-4E13-B4FA-7C04E29FA4B7}</t>
  </si>
  <si>
    <t>SDC105c</t>
  </si>
  <si>
    <t>{77B8F07C-DF06-4381-857F-A8D50E193C0B}</t>
  </si>
  <si>
    <t>SDC118</t>
  </si>
  <si>
    <t xml:space="preserve">	{A9080CA7-451D-45C2-9D44-745FA67C0868}</t>
  </si>
  <si>
    <t>SDC140b</t>
  </si>
  <si>
    <t>{190D60C8-4FC1-4837-A625-F109838EB9A3}</t>
  </si>
  <si>
    <t>SDC27</t>
  </si>
  <si>
    <t>{582606F3-8315-4088-B383-A4C656B880A1}</t>
  </si>
  <si>
    <t>SDC280</t>
  </si>
  <si>
    <t>{619A3C6C-FB2B-47C2-93EA-242D2E8577A5}</t>
  </si>
  <si>
    <t>SDC29</t>
  </si>
  <si>
    <t xml:space="preserve">	{22B4BC15-BFA0-4107-8AFC-83F424AB52C9}</t>
  </si>
  <si>
    <t>SDC342</t>
  </si>
  <si>
    <t xml:space="preserve">	{E15A1F8E-CC2F-415B-8CAB-63078865417A}</t>
  </si>
  <si>
    <t>SDC347</t>
  </si>
  <si>
    <t>{1511C0AF-ED40-4F6D-8B56-9F98A64A227B}</t>
  </si>
  <si>
    <t>SDC408</t>
  </si>
  <si>
    <t>{DC85B007-2CB9-4669-BAA8-93B41EEEC3ED}</t>
  </si>
  <si>
    <t>SDC83a</t>
  </si>
  <si>
    <t>{E15A1F8E-CC2F-415B-8CAB-63078865417A}</t>
  </si>
  <si>
    <t>SDC83b</t>
  </si>
  <si>
    <t xml:space="preserve">	{89626BE4-96C4-4171-82C2-35246B7CBDEF}</t>
  </si>
  <si>
    <t>SDC87</t>
  </si>
  <si>
    <t>{4FFB9036-71FD-429B-945E-2D00DA1F82B2}</t>
  </si>
  <si>
    <t>SDC98b</t>
  </si>
  <si>
    <t>{78E12F7C-F2C1-4903-949A-E397BA8F4C1A}</t>
  </si>
  <si>
    <t>South Hero STP HES 028-1(22)</t>
  </si>
  <si>
    <t>7809-INDS</t>
  </si>
  <si>
    <t>Northeast Arm Direct Drainage</t>
  </si>
  <si>
    <t>Northeast Arm</t>
  </si>
  <si>
    <t>ANM 2022 07 07 - updated with construction status.</t>
  </si>
  <si>
    <t>{4BF276D9-3DDA-4037-8311-C70C976C8477}</t>
  </si>
  <si>
    <t xml:space="preserve">	{AAE1DC31-33D7-4057-84E3-DCA04F4F6F40}</t>
  </si>
  <si>
    <t>Williston CMG PARK(29)</t>
  </si>
  <si>
    <t>7394-9015.A1</t>
  </si>
  <si>
    <t>Bioretention (w/ underdrain)</t>
  </si>
  <si>
    <t>ANM 2024 09 18 - updated construction status and date constructed</t>
  </si>
  <si>
    <t xml:space="preserve">	{50CEDF8C-73E1-4149-B99C-80D1ABCB9F87}</t>
  </si>
  <si>
    <t xml:space="preserve">	{80139528-5214-4AC7-90EB-7FE4AFD36ABF}</t>
  </si>
  <si>
    <t>Bioretention (infiltrating)</t>
  </si>
  <si>
    <t xml:space="preserve">	{5A007963-C04D-4AF1-AE49-3FED46A25B28}</t>
  </si>
  <si>
    <t>{C9D3DA91-F0C2-4D5C-BABC-435348B0DDBC}</t>
  </si>
  <si>
    <t>Extended Dry Detention Pond</t>
  </si>
  <si>
    <t>{933F69F6-C3E2-4D49-8626-76EC017320D6}</t>
  </si>
  <si>
    <t xml:space="preserve">Williston STP 5500(7) </t>
  </si>
  <si>
    <t>3993-9010</t>
  </si>
  <si>
    <t>ANM 2024 09 18 - updated construction status, removal efficiency, watershed acreages, and vault size to correspond to results of VTRC022-003, this was Filter B in that work.</t>
  </si>
  <si>
    <t>{5674E7F4-9FA7-4F59-970A-1FF1C4F35989}</t>
  </si>
  <si>
    <t>ANM 2024 09 18 - updated construction status</t>
  </si>
  <si>
    <t>{70068F96-BE16-4587-8135-9E2CD5E2B322}</t>
  </si>
  <si>
    <t>Planned</t>
  </si>
  <si>
    <t>Not constructed</t>
  </si>
  <si>
    <t>Not constructed. Channel protection volume vs water wuality volume</t>
  </si>
  <si>
    <t>TimberCurbRemoval_ID63</t>
  </si>
  <si>
    <t>Berlin-Barre Town STP 2943(1)</t>
  </si>
  <si>
    <t>ANM 2023 09 28 - updated construction status - are these being maintained or should we remove?</t>
  </si>
  <si>
    <t>TimberCurbRemoval_ID64</t>
  </si>
  <si>
    <t>TimberCurbRemoval_ID65</t>
  </si>
  <si>
    <t>Access Rd. East</t>
  </si>
  <si>
    <t>Preliminary Design (&lt;100%)</t>
  </si>
  <si>
    <t xml:space="preserve">ANM 2023 09 28 - it does not appear this ED pond was constructed in 2022. </t>
  </si>
  <si>
    <t xml:space="preserve">Access Rd. West </t>
  </si>
  <si>
    <t>I-89 / Holyoke Farm</t>
  </si>
  <si>
    <t xml:space="preserve">ANM 2023 09 28 - it does not appear this practice was constructed in 2022. </t>
  </si>
  <si>
    <t>Pittsford-Brandon NH 019-3(491) Seg 1</t>
  </si>
  <si>
    <t>7092-9010</t>
  </si>
  <si>
    <t>Under Construction</t>
  </si>
  <si>
    <t>ANM 2022 07 07 - project no longer appears in historic projects or Vtransparency - was it constructed?</t>
  </si>
  <si>
    <t>SASH / Federal St Connector</t>
  </si>
  <si>
    <t>ANM 2022 07 07 - updated all Rugg and Stevens RFP practices in this table with construction status.</t>
  </si>
  <si>
    <t>Upper Fairfield Hill Rd</t>
  </si>
  <si>
    <t>Bartlett Bay Treatment System (BBTS) Expansion</t>
  </si>
  <si>
    <t>Final Design (100%)</t>
  </si>
  <si>
    <t>Bartlett Brook</t>
  </si>
  <si>
    <t>{2DC32911-1FDF-45B6-80F1-AE423649603D}</t>
  </si>
  <si>
    <t>Williston NH 5500(18)</t>
  </si>
  <si>
    <t>Gap Project</t>
  </si>
  <si>
    <t>Dry Swale (infiltrating)</t>
  </si>
  <si>
    <t>ANM 2024 09 19 - This project was closed out for 2023 crediting and BMP exists in the Operational Stormwater Permits feature layer but GIS layers say gap project was not constructed - needs confirmation.</t>
  </si>
  <si>
    <t>{666D4BB7-32E9-4CC5-BB28-2B8539FBA12A}</t>
  </si>
  <si>
    <t>{2C2CE925-3A4C-4045-9508-CD6DB96D3C1B}</t>
  </si>
  <si>
    <t>Barre Town HES STPG 6100(6)</t>
  </si>
  <si>
    <t>4708-INDS</t>
  </si>
  <si>
    <t>{EB542027-28BC-4BF7-8447-691F607D135B}</t>
  </si>
  <si>
    <t xml:space="preserve">Barre Town HES STPG 6100(6) </t>
  </si>
  <si>
    <t>{AD0694CD-7B60-4895-AAA4-474C1198B7AA}</t>
  </si>
  <si>
    <t xml:space="preserve">Swanton NH 036-1(9)   </t>
  </si>
  <si>
    <t>7846-INDS</t>
  </si>
  <si>
    <t>Mississquoi Bay Direct Drainage</t>
  </si>
  <si>
    <t>Williston STP 5500(17)</t>
  </si>
  <si>
    <t>No Permit yet</t>
  </si>
  <si>
    <t>S/N 001 &amp; 003</t>
  </si>
  <si>
    <t>S/N 002 &amp; 004</t>
  </si>
  <si>
    <t>Pittsford-Brandon Seg 4</t>
  </si>
  <si>
    <t>6760-9010.A</t>
  </si>
  <si>
    <t>Pittsford-Brandon Seg 3</t>
  </si>
  <si>
    <t>3598-9010</t>
  </si>
  <si>
    <t xml:space="preserve">I-89 Outfall </t>
  </si>
  <si>
    <t>Centennial Brook</t>
  </si>
  <si>
    <t>Randbury Rd</t>
  </si>
  <si>
    <t>Moon Brook</t>
  </si>
  <si>
    <t>Tracy Rd.</t>
  </si>
  <si>
    <t>Sunderland Brook</t>
  </si>
  <si>
    <t/>
  </si>
  <si>
    <t>189 Cloverleaf</t>
  </si>
  <si>
    <t>2023-2025</t>
  </si>
  <si>
    <t>Potash Brook</t>
  </si>
  <si>
    <t>Exit 13</t>
  </si>
  <si>
    <t>Exit 14</t>
  </si>
  <si>
    <t>I-289/Route 15 North</t>
  </si>
  <si>
    <t>Indian Brook</t>
  </si>
  <si>
    <t>I-289/Route 15 South</t>
  </si>
  <si>
    <t xml:space="preserve">I-89 Cloverleaf (NE) </t>
  </si>
  <si>
    <t>I-89 Swale</t>
  </si>
  <si>
    <t>Dorset St / 189 Ramps</t>
  </si>
  <si>
    <t>2026-2027</t>
  </si>
  <si>
    <t>1690 Shelburne Rd</t>
  </si>
  <si>
    <t>2028-2029</t>
  </si>
  <si>
    <t>Fairview Dr</t>
  </si>
  <si>
    <t>Queen City Pk Rd</t>
  </si>
  <si>
    <t>Across from Tractor Supply</t>
  </si>
  <si>
    <t>2030-2031</t>
  </si>
  <si>
    <t>Munroe Brook</t>
  </si>
  <si>
    <t>By Danform Shoes</t>
  </si>
  <si>
    <t>M08 Executive Dr Pond</t>
  </si>
  <si>
    <t>Maintenance</t>
  </si>
  <si>
    <t>Previous SW permit number (if applicable)</t>
  </si>
  <si>
    <t>ABC0001</t>
  </si>
  <si>
    <t>Test BMP</t>
  </si>
  <si>
    <t>Townsville MS4</t>
  </si>
  <si>
    <t>Colchester MS4</t>
  </si>
  <si>
    <t>3000-9010</t>
  </si>
  <si>
    <t>Practice Type</t>
  </si>
  <si>
    <t>Infiltration Rate</t>
  </si>
  <si>
    <t>Depth treated</t>
  </si>
  <si>
    <t>Reduction performance</t>
  </si>
  <si>
    <t>0.27 in /hr</t>
  </si>
  <si>
    <t>Porous Pavement</t>
  </si>
  <si>
    <t>Lake Segment</t>
  </si>
  <si>
    <t>Drainage Area</t>
  </si>
  <si>
    <t>Unpaved Roads</t>
  </si>
  <si>
    <t>Paved Roads</t>
  </si>
  <si>
    <t>Non-Road Impervious</t>
  </si>
  <si>
    <t>Developed Pervious</t>
  </si>
  <si>
    <t>HSG A</t>
  </si>
  <si>
    <t>HSG B</t>
  </si>
  <si>
    <t>Weighted Average</t>
  </si>
  <si>
    <t>South Lake B</t>
  </si>
  <si>
    <t>Mettawee River</t>
  </si>
  <si>
    <t>Poultney River</t>
  </si>
  <si>
    <t>South Lake B Direct Drainage</t>
  </si>
  <si>
    <r>
      <t>0.412</t>
    </r>
    <r>
      <rPr>
        <sz val="8"/>
        <rFont val="Calibri"/>
        <family val="2"/>
        <scheme val="minor"/>
      </rPr>
      <t>  </t>
    </r>
  </si>
  <si>
    <t>South Lake A</t>
  </si>
  <si>
    <t>South Lake A Direct Drainage</t>
  </si>
  <si>
    <t>Port Henry</t>
  </si>
  <si>
    <t>Port Henry Direct Drainage</t>
  </si>
  <si>
    <t>Lewis Creek</t>
  </si>
  <si>
    <t>Little Otter Creek</t>
  </si>
  <si>
    <t>n/a</t>
  </si>
  <si>
    <t>Main Lake Direct Drainage</t>
  </si>
  <si>
    <t>Burlington Bay</t>
  </si>
  <si>
    <t>Burlington Bay - CSO</t>
  </si>
  <si>
    <t>Burlington Bay Direct Drainage</t>
  </si>
  <si>
    <t>Missisquoi Bay Direct Drainage</t>
  </si>
  <si>
    <t>Missisquoi River</t>
  </si>
  <si>
    <t>Isle La Motte</t>
  </si>
  <si>
    <t>Isle La Motte Direct Drainage</t>
  </si>
  <si>
    <t>Basin-wide</t>
  </si>
  <si>
    <t>*The basin wide average of the HSG soil type was used here, as these loads were not included in the TMDL modeling.</t>
  </si>
  <si>
    <r>
      <t> </t>
    </r>
    <r>
      <rPr>
        <sz val="10"/>
        <color theme="1"/>
        <rFont val="Calibri"/>
        <family val="2"/>
        <scheme val="minor"/>
      </rPr>
      <t>What should be our suggestion for the blanks on this table?</t>
    </r>
  </si>
  <si>
    <r>
      <t> </t>
    </r>
    <r>
      <rPr>
        <sz val="10"/>
        <color theme="1"/>
        <rFont val="Calibri"/>
        <family val="2"/>
        <scheme val="minor"/>
      </rPr>
      <t>If a value is listed as N/A use the basin wide average of that soil group. We can add these numbers in and then add an asterisk and a footnote.</t>
    </r>
  </si>
  <si>
    <t>TS4 Loading Rates</t>
  </si>
  <si>
    <t xml:space="preserve">Unpaved Roads </t>
  </si>
  <si>
    <t>Impervious Land Use</t>
  </si>
  <si>
    <t>Paved Roads, &gt;10% Slope, High Hydrologic Connectivity</t>
  </si>
  <si>
    <t>Paved Roads, &gt;10% Slope, Moderate Hydrologic Connectivity</t>
  </si>
  <si>
    <t>Paved Roads, &gt;10% Slope, Low Hydrologic Connectivity</t>
  </si>
  <si>
    <t>STP in Manual</t>
  </si>
  <si>
    <t>Definitions</t>
  </si>
  <si>
    <t>Variations in manual</t>
  </si>
  <si>
    <t>LC BATT- Performance Curve</t>
  </si>
  <si>
    <t>Storage volume required</t>
  </si>
  <si>
    <t>Infiltration Rate required</t>
  </si>
  <si>
    <t>Other info needed</t>
  </si>
  <si>
    <t>Design Storage Volume (DSV)</t>
  </si>
  <si>
    <t>Notes</t>
  </si>
  <si>
    <t>Bioretention</t>
  </si>
  <si>
    <t>Practice that treats runoff  by passing it through a vegetated filter bed, with a filter mixture of sand, soil, and organic matter. Filtered stormwater is either returned to a conveyance system or infiltrated into the native soil.</t>
  </si>
  <si>
    <t>Infiltrating</t>
  </si>
  <si>
    <t>Surface Infiltration</t>
  </si>
  <si>
    <t>ü</t>
  </si>
  <si>
    <t xml:space="preserve">DSV = Ponding water storage volume and void space volumes of soil filter media. Example:  DSV = (Apond x Dpond) + (Asoil x Dsoil x nsoil mix) </t>
  </si>
  <si>
    <t>Underdrained</t>
  </si>
  <si>
    <t>Bio-filtration</t>
  </si>
  <si>
    <t xml:space="preserve">DSV = Ponding water storage volume and void space volume of soil filter media.  DSV =  (Abed x Dponding)+ (Abed x Dsoil x nsoil)  </t>
  </si>
  <si>
    <t>Infiltration</t>
  </si>
  <si>
    <t>Practices that capture and store stormwater runoff, for the express purpose of allowing it to infiltrate into the soil</t>
  </si>
  <si>
    <t>Basin</t>
  </si>
  <si>
    <r>
      <t>DSV = Water volume of storage structure before bypass. Example for linear trapazoidal vegetated swale.  DSV = (L x ((W</t>
    </r>
    <r>
      <rPr>
        <sz val="8"/>
        <color theme="1"/>
        <rFont val="Calibri"/>
        <family val="2"/>
        <scheme val="minor"/>
      </rPr>
      <t>bottom</t>
    </r>
    <r>
      <rPr>
        <sz val="11"/>
        <color theme="1"/>
        <rFont val="Calibri"/>
        <family val="2"/>
        <scheme val="minor"/>
      </rPr>
      <t>+W</t>
    </r>
    <r>
      <rPr>
        <sz val="8"/>
        <color theme="1"/>
        <rFont val="Calibri"/>
        <family val="2"/>
        <scheme val="minor"/>
      </rPr>
      <t>top@Dmax</t>
    </r>
    <r>
      <rPr>
        <sz val="11"/>
        <color theme="1"/>
        <rFont val="Calibri"/>
        <family val="2"/>
        <scheme val="minor"/>
      </rPr>
      <t xml:space="preserve"> )/2) x D)</t>
    </r>
  </si>
  <si>
    <t>Trench</t>
  </si>
  <si>
    <r>
      <t>DSV = void space volumes of stone and sand layers. DSV = (A</t>
    </r>
    <r>
      <rPr>
        <sz val="8"/>
        <color theme="1"/>
        <rFont val="Calibri"/>
        <family val="2"/>
        <scheme val="minor"/>
      </rPr>
      <t>trench</t>
    </r>
    <r>
      <rPr>
        <sz val="11"/>
        <color theme="1"/>
        <rFont val="Calibri"/>
        <family val="2"/>
        <scheme val="minor"/>
      </rPr>
      <t xml:space="preserve"> x D</t>
    </r>
    <r>
      <rPr>
        <sz val="8"/>
        <color theme="1"/>
        <rFont val="Calibri"/>
        <family val="2"/>
        <scheme val="minor"/>
      </rPr>
      <t>stone</t>
    </r>
    <r>
      <rPr>
        <sz val="11"/>
        <color theme="1"/>
        <rFont val="Calibri"/>
        <family val="2"/>
        <scheme val="minor"/>
      </rPr>
      <t xml:space="preserve"> x n</t>
    </r>
    <r>
      <rPr>
        <sz val="9"/>
        <color theme="1"/>
        <rFont val="Calibri"/>
        <family val="2"/>
        <scheme val="minor"/>
      </rPr>
      <t>stone</t>
    </r>
    <r>
      <rPr>
        <sz val="11"/>
        <color theme="1"/>
        <rFont val="Calibri"/>
        <family val="2"/>
        <scheme val="minor"/>
      </rPr>
      <t xml:space="preserve"> )+ (A</t>
    </r>
    <r>
      <rPr>
        <sz val="9"/>
        <color theme="1"/>
        <rFont val="Calibri"/>
        <family val="2"/>
        <scheme val="minor"/>
      </rPr>
      <t>trench</t>
    </r>
    <r>
      <rPr>
        <sz val="11"/>
        <color theme="1"/>
        <rFont val="Calibri"/>
        <family val="2"/>
        <scheme val="minor"/>
      </rPr>
      <t xml:space="preserve"> x D</t>
    </r>
    <r>
      <rPr>
        <sz val="9"/>
        <color theme="1"/>
        <rFont val="Calibri"/>
        <family val="2"/>
        <scheme val="minor"/>
      </rPr>
      <t>sand</t>
    </r>
    <r>
      <rPr>
        <sz val="11"/>
        <color theme="1"/>
        <rFont val="Calibri"/>
        <family val="2"/>
        <scheme val="minor"/>
      </rPr>
      <t xml:space="preserve"> x n</t>
    </r>
    <r>
      <rPr>
        <sz val="9"/>
        <color theme="1"/>
        <rFont val="Calibri"/>
        <family val="2"/>
        <scheme val="minor"/>
      </rPr>
      <t>sand</t>
    </r>
    <r>
      <rPr>
        <sz val="11"/>
        <color theme="1"/>
        <rFont val="Calibri"/>
        <family val="2"/>
        <scheme val="minor"/>
      </rPr>
      <t>)</t>
    </r>
  </si>
  <si>
    <t xml:space="preserve">Subsurface </t>
  </si>
  <si>
    <t>Dry Swale</t>
  </si>
  <si>
    <t>A soil filter system that temporarily stores and then filters a desired runoff volume for treatment. It is configured as a linear channel, and covered with turf or surface material other than mulch and ornamental plants.</t>
  </si>
  <si>
    <t>DSV = Water volume of storage structure before bypass. Example for linear trapazoidal vegetated swale.  DSV = (L x ((Wbottom+Wtop@Dmax )/2) x D)</t>
  </si>
  <si>
    <t>Filters</t>
  </si>
  <si>
    <t>Filtering systems capture and temporarily store runoff and pass it through a filter bed of sand or augmented media. Filtered runoff may be collected  (via underdrain), or allowed to exfiltrate into the soil.</t>
  </si>
  <si>
    <t>Sand Filter</t>
  </si>
  <si>
    <r>
      <t>DSV = Ponding water storage volume and void space volume of soil filter media. DSV =  (Abed x Dponding)+ (A</t>
    </r>
    <r>
      <rPr>
        <sz val="8"/>
        <color theme="1"/>
        <rFont val="Calibri"/>
        <family val="2"/>
        <scheme val="minor"/>
      </rPr>
      <t>bed</t>
    </r>
    <r>
      <rPr>
        <sz val="11"/>
        <color theme="1"/>
        <rFont val="Calibri"/>
        <family val="2"/>
        <scheme val="minor"/>
      </rPr>
      <t xml:space="preserve"> x D</t>
    </r>
    <r>
      <rPr>
        <sz val="8"/>
        <color theme="1"/>
        <rFont val="Calibri"/>
        <family val="2"/>
        <scheme val="minor"/>
      </rPr>
      <t>soi</t>
    </r>
    <r>
      <rPr>
        <sz val="11"/>
        <color theme="1"/>
        <rFont val="Calibri"/>
        <family val="2"/>
        <scheme val="minor"/>
      </rPr>
      <t>l x n</t>
    </r>
    <r>
      <rPr>
        <sz val="8"/>
        <color theme="1"/>
        <rFont val="Calibri"/>
        <family val="2"/>
        <scheme val="minor"/>
      </rPr>
      <t>soil</t>
    </r>
    <r>
      <rPr>
        <sz val="11"/>
        <color theme="1"/>
        <rFont val="Calibri"/>
        <family val="2"/>
        <scheme val="minor"/>
      </rPr>
      <t xml:space="preserve">)  </t>
    </r>
  </si>
  <si>
    <t>Wet Pond</t>
  </si>
  <si>
    <t>A practice consisting of a permanent pool of standing water that promotes a stable environment for gravitational settling, biological uptake, and microbial activity.</t>
  </si>
  <si>
    <t>DSV= Pemanant pool volume prior to high flow bypass   DSV=Apond x Dpond   (does not include pretreatment volume)</t>
  </si>
  <si>
    <t>For storage volume use WQV calculated for pond. If no ED is used, WQV = Perm pool volume</t>
  </si>
  <si>
    <t>Treatment Wetland</t>
  </si>
  <si>
    <t>Treatment systems that maximize pollutant removal and the uptake of nutrients through wetland vegetation, retention, and settling.  Gravel wetlands store water within the void spaces of gravel. Shallow surface wetlands use organic wetland soils and have a permanent pool of water that supports  wetland plants.</t>
  </si>
  <si>
    <t>Shallow Surface Wetland</t>
  </si>
  <si>
    <t xml:space="preserve">DSV = pretreatment volume + ponding volume + void space volume of gravel ISR.                                                   DSV = (A pretreatment x DpreTreatment)+ (A wetland x Dponding)+ (AISR x Dgravel  x ngravel)  Pretreatment </t>
  </si>
  <si>
    <t>also asks for pretreatment volume</t>
  </si>
  <si>
    <t>Permeable Pavement</t>
  </si>
  <si>
    <t xml:space="preserve">Hardscape surfaces with an underlying reservoir course that captures and temporarily stores it before infiltrating into the underlying soil or conveying it elsewhere.  </t>
  </si>
  <si>
    <t>Subsurface infiltration</t>
  </si>
  <si>
    <t>Lined with underdrain</t>
  </si>
  <si>
    <t xml:space="preserve">Depth of filter course </t>
  </si>
  <si>
    <t>Depth of Filter course (Inches)</t>
  </si>
  <si>
    <t>Footnotes:</t>
  </si>
  <si>
    <t>DSV= Design Storage Volume = physical storage capacity to hold water</t>
  </si>
  <si>
    <t>VSV=Void Space Volume</t>
  </si>
  <si>
    <t>L= length, W= width, D= depth at design capacity before bypass, n=porosity fill material, A= average surface area for calculating volume</t>
  </si>
  <si>
    <t>Infiltration rate = saturated soil hydraulic conductivity</t>
  </si>
  <si>
    <t>(this tab can be hidden when you send it out to the public)</t>
  </si>
  <si>
    <t>Unique ID</t>
  </si>
  <si>
    <t>Responsible party (i.e., MS4/TS4)</t>
  </si>
  <si>
    <t>Applicable FRP/PCP</t>
  </si>
  <si>
    <t>BMP type</t>
  </si>
  <si>
    <t>Infiltration Rate Required</t>
  </si>
  <si>
    <t>BMP status (planned, constructed)</t>
  </si>
  <si>
    <t>Pervious Entry Type</t>
  </si>
  <si>
    <t>BTV</t>
  </si>
  <si>
    <t>Burlington Int'l Airport MS4</t>
  </si>
  <si>
    <t>no</t>
  </si>
  <si>
    <t>BUR</t>
  </si>
  <si>
    <t>Burlington MS4</t>
  </si>
  <si>
    <t>yes</t>
  </si>
  <si>
    <t>By HSG</t>
  </si>
  <si>
    <t>COL</t>
  </si>
  <si>
    <t>N/A</t>
  </si>
  <si>
    <t>EST</t>
  </si>
  <si>
    <t>Essex Town MS4</t>
  </si>
  <si>
    <t>ESJ</t>
  </si>
  <si>
    <t>Essex Junction MS4</t>
  </si>
  <si>
    <t>Englesby Brook</t>
  </si>
  <si>
    <t>Yes (include previoius drainage area info)</t>
  </si>
  <si>
    <t>RUT</t>
  </si>
  <si>
    <t>Rutland Town MS4</t>
  </si>
  <si>
    <t>SHE</t>
  </si>
  <si>
    <t>Shelburne MS4</t>
  </si>
  <si>
    <t>SBU</t>
  </si>
  <si>
    <t>South Burlington MS4</t>
  </si>
  <si>
    <t>Morehouse Brook</t>
  </si>
  <si>
    <t>SAC</t>
  </si>
  <si>
    <t>St. Albans City MS4</t>
  </si>
  <si>
    <t>SAT</t>
  </si>
  <si>
    <t>St. Albans Town MS4</t>
  </si>
  <si>
    <t>UVM</t>
  </si>
  <si>
    <t>University of Vermont MS4</t>
  </si>
  <si>
    <t>WIL</t>
  </si>
  <si>
    <t>Williston MS4</t>
  </si>
  <si>
    <t>WIN</t>
  </si>
  <si>
    <t>Winooski MS4</t>
  </si>
  <si>
    <t>VTR</t>
  </si>
  <si>
    <t>1 Saved 4/17 version of spreadsheet w/ Amy updates as this 8/31 version</t>
  </si>
  <si>
    <t xml:space="preserve">2 Copied and pasted Tyler's new STPs from 'Vtrans_PCP_StructuralBMPsTracking_2020 03 05(2)_Tyler2020 08 17.xlsx' (Row 211-266) to bottom of 4/17 list in BMP Tracking Table (green row indicates where new BMPs are), they looked like mostly operational permit projects. Pasted as values only and columns AN-AR (which were used to calculate storage volume) were not copied from Tyler's spreadsheet to prevent formula issues. </t>
  </si>
  <si>
    <t>3 Manually compared P credit values of each BMP already included from 4/17 to confirm if data had been added, the following had data added so P credit could calculate:</t>
  </si>
  <si>
    <t>Attribute Added from Tyler's 8/17</t>
  </si>
  <si>
    <t>Pervious Area</t>
  </si>
  <si>
    <t>No Unique ID, Row 129, Project Tile 'East Montpelier BRF037-1(7)'</t>
  </si>
  <si>
    <t>Pervious Area &amp; Storage Volume</t>
  </si>
  <si>
    <t>4 Added notes to P credit column where it was not populating with reason why</t>
  </si>
  <si>
    <t>Caught spelling error in Loading Rates lookup table that fixed a few (Mississquoi Bay Direct Drainage was misspelled)</t>
  </si>
  <si>
    <t>Verified 'Median Filters' with Project Name 'I-289/Route 15 North' were on poor soils and reclassified as 'Sand Filter (w/ underdrain)'</t>
  </si>
  <si>
    <t>Added '0.00001' Pervious Area for a number of STPs so calc would work</t>
  </si>
  <si>
    <t>For infiltrative STPs with no infitlration rate and no lat/long to fin HSG, assumed lowest possible infiltration rate to be conservative for now. Made note</t>
  </si>
  <si>
    <t>Changed STP w/ Permit No. 7757-INDS from 'Surface Infiltration' to 'Infitlration Trench' based on Tyler's feedback</t>
  </si>
  <si>
    <t>Received updated version from Tyler with more BMP information entered</t>
  </si>
  <si>
    <t>Assigned infiltration rate of 1.02in/hr to BMP {18D48082-A77A-4BB3-818F-E55A6CF5655B} based on B soils so P reduction could calculate</t>
  </si>
  <si>
    <t>Assigned infiltration rate of 2.41in/hr to BMP w/ Project Title East Montpelier BRF037-1(7) (Row 128 - no Unique ID) based on S soils so P reduction could calculate</t>
  </si>
  <si>
    <t>Results for completed &amp; planned BMPs</t>
  </si>
  <si>
    <t>(All)</t>
  </si>
  <si>
    <t>Row Labels</t>
  </si>
  <si>
    <t>Sum of Impervious area  (acres)</t>
  </si>
  <si>
    <t>Sum of Total Pervious area (acres)</t>
  </si>
  <si>
    <t>Sum of * Load Before Treatment (kg/yr)</t>
  </si>
  <si>
    <t>Sum of Storage volume (ft3)</t>
  </si>
  <si>
    <t>Sum of *P Credit (kg/yr)</t>
  </si>
  <si>
    <t>Grand Total</t>
  </si>
  <si>
    <t xml:space="preserve">Count of BMP Type </t>
  </si>
  <si>
    <t>Column Labels</t>
  </si>
  <si>
    <t>Parcel vs. ROW BMPs</t>
  </si>
  <si>
    <t>(blank)</t>
  </si>
  <si>
    <t>Results for PLANNED BMPs only</t>
  </si>
  <si>
    <t>(Multiple Items)</t>
  </si>
  <si>
    <t>BMP Types per lake segment</t>
  </si>
  <si>
    <t>Summary of Phosphorus Load Reductions from Existing and Planned Structural STPs</t>
  </si>
  <si>
    <t>Summary of Areas Managed by Existing and Planned structural STPs (acres)</t>
  </si>
  <si>
    <t>Summary of Existing and Planned STPs by Practice Type</t>
  </si>
  <si>
    <t>(did not include last 3 columns in main rpt)</t>
  </si>
  <si>
    <t>Completed STP P Load Reduction</t>
  </si>
  <si>
    <t>Planned STP P Load Reduction</t>
  </si>
  <si>
    <t>Total P Load Reduction</t>
  </si>
  <si>
    <t>Target P Load Reduction</t>
  </si>
  <si>
    <t>% of Total P Reduction</t>
  </si>
  <si>
    <t>Completed STP Impervious Area Managed</t>
  </si>
  <si>
    <t>Completed STP Pervious Area Managed</t>
  </si>
  <si>
    <t>Planned STP Impervious Area Managed</t>
  </si>
  <si>
    <t xml:space="preserve">Planned STP Pervious Area Managed </t>
  </si>
  <si>
    <t>LCB Paved Roads Area (Linear Facilities) (ac)</t>
  </si>
  <si>
    <t>Total VTrans LCB Area (ac)*</t>
  </si>
  <si>
    <t>Paved Roads Area, Existing Structural BMP Management (%)</t>
  </si>
  <si>
    <t>Would need to update 9/1</t>
  </si>
  <si>
    <t>BMP Type</t>
  </si>
  <si>
    <t xml:space="preserve">Planned </t>
  </si>
  <si>
    <t>Completed</t>
  </si>
  <si>
    <t xml:space="preserve"> Total</t>
  </si>
  <si>
    <t>*Includes all land covers associated with roads and parcels (developed impervious, paved roads, unpaved roads and developed pervious)</t>
  </si>
  <si>
    <t>Median Filter</t>
  </si>
  <si>
    <t>Total Pervious surface managed</t>
  </si>
  <si>
    <t>Total impervious surface managed</t>
  </si>
  <si>
    <t>Underground Detention Chamber</t>
  </si>
  <si>
    <t>BMPs by LU class</t>
  </si>
  <si>
    <t>Total</t>
  </si>
  <si>
    <t>Land Use Classification</t>
  </si>
  <si>
    <t>Total Structural STPs Installed</t>
  </si>
  <si>
    <t>Percent of BMPs treating parcels</t>
  </si>
  <si>
    <t>Removed from count because these are not typical BMPs Vtrans will implment moving forward</t>
  </si>
  <si>
    <t>Planned BMPS from Pivot</t>
  </si>
  <si>
    <t>Completed BMPs from Pivot</t>
  </si>
  <si>
    <t>P loads and reductions from existing and planned structural stormwater BMPs</t>
  </si>
  <si>
    <t>VTrans area managed by existing and planned structural stormwater BMPs</t>
  </si>
  <si>
    <t xml:space="preserve">Planned BMP P Reduction </t>
  </si>
  <si>
    <t xml:space="preserve">Completed BMP P Reduction </t>
  </si>
  <si>
    <t xml:space="preserve">Total Existing BMP P Reduction </t>
  </si>
  <si>
    <t xml:space="preserve">Target P Reduction </t>
  </si>
  <si>
    <t xml:space="preserve">Planned STP Impervious Area Managed </t>
  </si>
  <si>
    <t xml:space="preserve">Completed STP Impervious Area Managed </t>
  </si>
  <si>
    <t xml:space="preserve">Total Paved Roads Area (Linear Facilities) </t>
  </si>
  <si>
    <t>% of Total Vtrans Paved Roads Area Managed</t>
  </si>
  <si>
    <t xml:space="preserve"> </t>
  </si>
  <si>
    <t>Richmond IM 089-2(52)</t>
  </si>
  <si>
    <t>9517-9050</t>
  </si>
  <si>
    <t>Cabot-Danville FEGC F028-3(26) C3</t>
  </si>
  <si>
    <t>4022-9050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</si>
</sst>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quot;$&quot;#,##0"/>
    <numFmt numFmtId="165" formatCode="0.00000"/>
    <numFmt numFmtId="166" formatCode="_(* #,##0_);_(* \(#,##0\);_(* &quot;-&quot;??_);_(@_)"/>
    <numFmt numFmtId="167" formatCode="0.000"/>
    <numFmt numFmtId="168" formatCode="0.0"/>
    <numFmt numFmtId="169" formatCode="0.0%"/>
    <numFmt numFmtId="170" formatCode="0.0000"/>
  </numFmts>
  <fonts count="38">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11"/>
      <name val="Calibri"/>
      <family val="2"/>
      <scheme val="minor"/>
    </font>
    <font>
      <b/>
      <sz val="11"/>
      <color rgb="FFFF0000"/>
      <name val="Calibri"/>
      <family val="2"/>
      <scheme val="minor"/>
    </font>
    <font>
      <b/>
      <sz val="11"/>
      <color rgb="FFFF0000"/>
      <name val="Wingdings"/>
      <charset val="2"/>
    </font>
    <font>
      <sz val="10"/>
      <name val="Arial"/>
      <family val="2"/>
    </font>
    <font>
      <b/>
      <vertAlign val="superscript"/>
      <sz val="12"/>
      <color theme="1"/>
      <name val="Calibri"/>
      <family val="2"/>
      <scheme val="minor"/>
    </font>
    <font>
      <b/>
      <sz val="10"/>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8"/>
      <name val="Calibri"/>
      <family val="2"/>
      <scheme val="minor"/>
    </font>
    <font>
      <sz val="11"/>
      <color theme="1"/>
      <name val="Calibri"/>
      <family val="2"/>
      <scheme val="minor"/>
    </font>
    <font>
      <sz val="12"/>
      <color theme="1"/>
      <name val="Calibri"/>
      <family val="2"/>
      <scheme val="minor"/>
    </font>
    <font>
      <sz val="10"/>
      <name val="Calibri"/>
      <family val="2"/>
      <scheme val="minor"/>
    </font>
    <font>
      <sz val="9"/>
      <color indexed="81"/>
      <name val="Tahoma"/>
      <family val="2"/>
    </font>
    <font>
      <b/>
      <sz val="22"/>
      <color theme="1"/>
      <name val="Calibri"/>
      <family val="2"/>
      <scheme val="minor"/>
    </font>
    <font>
      <sz val="11"/>
      <color theme="1" tint="0.249977111117893"/>
      <name val="Calibri"/>
      <family val="2"/>
      <scheme val="minor"/>
    </font>
    <font>
      <b/>
      <sz val="9"/>
      <color indexed="81"/>
      <name val="Tahoma"/>
      <family val="2"/>
    </font>
    <font>
      <u/>
      <sz val="11"/>
      <color theme="10"/>
      <name val="Calibri"/>
      <family val="2"/>
      <scheme val="minor"/>
    </font>
    <font>
      <b/>
      <sz val="14"/>
      <color theme="1"/>
      <name val="Calibri"/>
      <family val="2"/>
      <scheme val="minor"/>
    </font>
    <font>
      <i/>
      <sz val="12"/>
      <color theme="1"/>
      <name val="Calibri"/>
      <family val="2"/>
      <scheme val="minor"/>
    </font>
    <font>
      <sz val="11"/>
      <color theme="1"/>
      <name val="Symbol"/>
      <family val="1"/>
      <charset val="2"/>
    </font>
    <font>
      <sz val="7"/>
      <color theme="1"/>
      <name val="Times New Roman"/>
      <family val="1"/>
    </font>
    <font>
      <b/>
      <sz val="12"/>
      <name val="Calibri"/>
      <family val="2"/>
      <scheme val="minor"/>
    </font>
    <font>
      <sz val="12"/>
      <name val="Calibri"/>
      <family val="2"/>
      <scheme val="minor"/>
    </font>
    <font>
      <sz val="12"/>
      <name val="Calibri"/>
      <family val="2"/>
    </font>
    <font>
      <sz val="11"/>
      <color theme="1"/>
      <name val="Calibri"/>
      <family val="2"/>
    </font>
    <font>
      <i/>
      <sz val="11"/>
      <color theme="4" tint="-0.249977111117893"/>
      <name val="Calibri"/>
      <family val="2"/>
      <scheme val="minor"/>
    </font>
    <font>
      <i/>
      <sz val="11"/>
      <color theme="1"/>
      <name val="Calibri"/>
      <family val="2"/>
      <scheme val="minor"/>
    </font>
    <font>
      <b/>
      <sz val="10"/>
      <color theme="0"/>
      <name val="Humnst777 Lt BT"/>
      <family val="2"/>
    </font>
    <font>
      <sz val="10"/>
      <name val="Humnst777 Lt BT"/>
      <family val="2"/>
    </font>
    <font>
      <i/>
      <sz val="8"/>
      <name val="Humnst777 Lt BT"/>
      <family val="2"/>
    </font>
    <font>
      <sz val="11"/>
      <color rgb="FFFF0000"/>
      <name val="Calibri"/>
      <family val="2"/>
      <scheme val="minor"/>
    </font>
  </fonts>
  <fills count="25">
    <fill>
      <patternFill patternType="none"/>
    </fill>
    <fill>
      <patternFill patternType="gray125"/>
    </fill>
    <fill>
      <patternFill patternType="solid">
        <fgColor theme="8"/>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4472C4"/>
        <bgColor indexed="64"/>
      </patternFill>
    </fill>
    <fill>
      <patternFill patternType="solid">
        <fgColor rgb="FFD9E2F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6"/>
        <bgColor indexed="64"/>
      </patternFill>
    </fill>
    <fill>
      <patternFill patternType="solid">
        <fgColor rgb="FF81BA5A"/>
        <bgColor indexed="64"/>
      </patternFill>
    </fill>
    <fill>
      <patternFill patternType="solid">
        <fgColor rgb="FFB4BFEE"/>
        <bgColor indexed="64"/>
      </patternFill>
    </fill>
    <fill>
      <patternFill patternType="solid">
        <fgColor theme="1" tint="0.499984740745262"/>
        <bgColor indexed="64"/>
      </patternFill>
    </fill>
    <fill>
      <patternFill patternType="solid">
        <fgColor theme="9"/>
        <bgColor indexed="64"/>
      </patternFill>
    </fill>
    <fill>
      <patternFill patternType="solid">
        <fgColor theme="0"/>
        <bgColor indexed="64"/>
      </patternFill>
    </fill>
    <fill>
      <patternFill patternType="solid">
        <fgColor rgb="FF6AA244"/>
        <bgColor indexed="64"/>
      </patternFill>
    </fill>
    <fill>
      <patternFill patternType="solid">
        <fgColor theme="4" tint="0.79998168889431442"/>
        <bgColor theme="4" tint="0.79998168889431442"/>
      </patternFill>
    </fill>
    <fill>
      <patternFill patternType="solid">
        <fgColor rgb="FF85837D"/>
        <bgColor indexed="64"/>
      </patternFill>
    </fill>
    <fill>
      <patternFill patternType="solid">
        <fgColor theme="2"/>
        <bgColor indexed="64"/>
      </patternFill>
    </fill>
    <fill>
      <patternFill patternType="solid">
        <fgColor rgb="FF00B050"/>
        <bgColor indexed="64"/>
      </patternFill>
    </fill>
    <fill>
      <patternFill patternType="solid">
        <fgColor theme="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rgb="FF4472C4"/>
      </left>
      <right/>
      <top style="medium">
        <color rgb="FF4472C4"/>
      </top>
      <bottom/>
      <diagonal/>
    </border>
    <border>
      <left style="medium">
        <color rgb="FF4472C4"/>
      </left>
      <right/>
      <top/>
      <bottom style="medium">
        <color rgb="FF8EAADB"/>
      </bottom>
      <diagonal/>
    </border>
    <border>
      <left/>
      <right/>
      <top style="medium">
        <color rgb="FF4472C4"/>
      </top>
      <bottom/>
      <diagonal/>
    </border>
    <border>
      <left/>
      <right/>
      <top/>
      <bottom style="medium">
        <color rgb="FF8EAADB"/>
      </bottom>
      <diagonal/>
    </border>
    <border>
      <left/>
      <right/>
      <top style="medium">
        <color rgb="FF4472C4"/>
      </top>
      <bottom style="medium">
        <color rgb="FF4472C4"/>
      </bottom>
      <diagonal/>
    </border>
    <border>
      <left/>
      <right style="medium">
        <color rgb="FF4472C4"/>
      </right>
      <top style="medium">
        <color rgb="FF4472C4"/>
      </top>
      <bottom/>
      <diagonal/>
    </border>
    <border>
      <left/>
      <right style="medium">
        <color rgb="FF4472C4"/>
      </right>
      <top/>
      <bottom style="medium">
        <color rgb="FF8EAADB"/>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rgb="FF8EAADB"/>
      </left>
      <right/>
      <top style="medium">
        <color rgb="FF8EAADB"/>
      </top>
      <bottom style="medium">
        <color rgb="FF8EAADB"/>
      </bottom>
      <diagonal/>
    </border>
    <border>
      <left/>
      <right style="medium">
        <color rgb="FF8EAADB"/>
      </right>
      <top style="medium">
        <color rgb="FF8EAADB"/>
      </top>
      <bottom style="medium">
        <color rgb="FF8EAADB"/>
      </bottom>
      <diagonal/>
    </border>
    <border>
      <left/>
      <right/>
      <top style="medium">
        <color rgb="FF8EAADB"/>
      </top>
      <bottom style="medium">
        <color rgb="FF8EAADB"/>
      </bottom>
      <diagonal/>
    </border>
    <border>
      <left/>
      <right style="thin">
        <color indexed="64"/>
      </right>
      <top style="thin">
        <color indexed="64"/>
      </top>
      <bottom/>
      <diagonal/>
    </border>
    <border>
      <left style="medium">
        <color rgb="FF4472C4"/>
      </left>
      <right style="medium">
        <color rgb="FF4472C4"/>
      </right>
      <top style="medium">
        <color rgb="FF4472C4"/>
      </top>
      <bottom/>
      <diagonal/>
    </border>
    <border>
      <left style="medium">
        <color rgb="FF4472C4"/>
      </left>
      <right/>
      <top/>
      <bottom/>
      <diagonal/>
    </border>
    <border>
      <left style="medium">
        <color rgb="FF8EAADB"/>
      </left>
      <right style="medium">
        <color rgb="FF8EAADB"/>
      </right>
      <top/>
      <bottom/>
      <diagonal/>
    </border>
    <border>
      <left/>
      <right style="medium">
        <color rgb="FF8EAADB"/>
      </right>
      <top/>
      <bottom/>
      <diagonal/>
    </border>
    <border>
      <left/>
      <right style="medium">
        <color rgb="FF4472C4"/>
      </right>
      <top/>
      <bottom/>
      <diagonal/>
    </border>
    <border>
      <left style="medium">
        <color rgb="FF4472C4"/>
      </left>
      <right style="medium">
        <color rgb="FF4472C4"/>
      </right>
      <top/>
      <bottom/>
      <diagonal/>
    </border>
    <border>
      <left style="thin">
        <color theme="6"/>
      </left>
      <right style="thin">
        <color theme="6"/>
      </right>
      <top style="thin">
        <color theme="6"/>
      </top>
      <bottom style="thin">
        <color theme="6"/>
      </bottom>
      <diagonal/>
    </border>
    <border>
      <left style="thin">
        <color theme="6"/>
      </left>
      <right style="thin">
        <color theme="6"/>
      </right>
      <top/>
      <bottom style="thin">
        <color theme="6"/>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6"/>
      </left>
      <right/>
      <top/>
      <bottom style="thin">
        <color theme="6"/>
      </bottom>
      <diagonal/>
    </border>
    <border>
      <left/>
      <right/>
      <top style="thin">
        <color theme="4" tint="0.39997558519241921"/>
      </top>
      <bottom/>
      <diagonal/>
    </border>
    <border>
      <left/>
      <right/>
      <top/>
      <bottom style="thin">
        <color theme="4" tint="0.39997558519241921"/>
      </bottom>
      <diagonal/>
    </border>
  </borders>
  <cellStyleXfs count="4">
    <xf numFmtId="0" fontId="0" fillId="0" borderId="0"/>
    <xf numFmtId="43" fontId="16" fillId="0" borderId="0" applyFont="0" applyFill="0" applyBorder="0" applyAlignment="0" applyProtection="0"/>
    <xf numFmtId="0" fontId="23" fillId="0" borderId="0" applyNumberFormat="0" applyFill="0" applyBorder="0" applyAlignment="0" applyProtection="0"/>
    <xf numFmtId="9" fontId="16" fillId="0" borderId="0" applyFont="0" applyFill="0" applyBorder="0" applyAlignment="0" applyProtection="0"/>
  </cellStyleXfs>
  <cellXfs count="242">
    <xf numFmtId="0" fontId="0" fillId="0" borderId="0" xfId="0"/>
    <xf numFmtId="0" fontId="1" fillId="0" borderId="0" xfId="0" applyFont="1"/>
    <xf numFmtId="0" fontId="2" fillId="0" borderId="0" xfId="0" applyFont="1" applyAlignment="1">
      <alignment wrapText="1"/>
    </xf>
    <xf numFmtId="0" fontId="1" fillId="3" borderId="1" xfId="0" applyFont="1" applyFill="1" applyBorder="1" applyAlignment="1">
      <alignment wrapText="1"/>
    </xf>
    <xf numFmtId="0" fontId="0" fillId="0" borderId="1" xfId="0" applyBorder="1"/>
    <xf numFmtId="0" fontId="0" fillId="0" borderId="1" xfId="0" applyBorder="1" applyAlignment="1">
      <alignment wrapText="1"/>
    </xf>
    <xf numFmtId="0" fontId="1" fillId="0" borderId="1" xfId="0" applyFont="1" applyBorder="1"/>
    <xf numFmtId="0" fontId="0" fillId="0" borderId="1" xfId="0" applyBorder="1" applyAlignment="1">
      <alignment horizontal="left" vertical="center" wrapText="1"/>
    </xf>
    <xf numFmtId="0" fontId="0" fillId="0" borderId="1" xfId="0" applyBorder="1" applyAlignment="1">
      <alignment horizontal="center"/>
    </xf>
    <xf numFmtId="0" fontId="1" fillId="3" borderId="1" xfId="0" applyFont="1" applyFill="1" applyBorder="1" applyAlignment="1">
      <alignment horizontal="left" wrapText="1"/>
    </xf>
    <xf numFmtId="0" fontId="7" fillId="0" borderId="1" xfId="0" applyFont="1" applyBorder="1" applyAlignment="1">
      <alignment wrapText="1"/>
    </xf>
    <xf numFmtId="0" fontId="8" fillId="0" borderId="1" xfId="0" applyFont="1" applyBorder="1" applyAlignment="1">
      <alignment horizontal="center"/>
    </xf>
    <xf numFmtId="0" fontId="9" fillId="0" borderId="0" xfId="0" applyFont="1"/>
    <xf numFmtId="0" fontId="6" fillId="0" borderId="0" xfId="0" applyFont="1"/>
    <xf numFmtId="0" fontId="0" fillId="0" borderId="10" xfId="0" applyBorder="1"/>
    <xf numFmtId="0" fontId="1" fillId="0" borderId="10" xfId="0" applyFont="1" applyBorder="1"/>
    <xf numFmtId="0" fontId="0" fillId="0" borderId="10" xfId="0" applyBorder="1" applyAlignment="1">
      <alignment wrapText="1"/>
    </xf>
    <xf numFmtId="0" fontId="5" fillId="0" borderId="0" xfId="0" applyFont="1"/>
    <xf numFmtId="2" fontId="1" fillId="6" borderId="6" xfId="0" applyNumberFormat="1" applyFont="1" applyFill="1" applyBorder="1" applyAlignment="1">
      <alignment horizontal="center"/>
    </xf>
    <xf numFmtId="2" fontId="0" fillId="0" borderId="0" xfId="0" applyNumberFormat="1"/>
    <xf numFmtId="0" fontId="13" fillId="9" borderId="18" xfId="0" applyFont="1" applyFill="1" applyBorder="1" applyAlignment="1">
      <alignment horizontal="center" vertical="center"/>
    </xf>
    <xf numFmtId="0" fontId="13" fillId="9" borderId="19" xfId="0" applyFont="1" applyFill="1" applyBorder="1" applyAlignment="1">
      <alignment horizontal="center" vertical="center"/>
    </xf>
    <xf numFmtId="0" fontId="9" fillId="0" borderId="18" xfId="0" applyFont="1" applyBorder="1" applyAlignment="1">
      <alignment vertical="center"/>
    </xf>
    <xf numFmtId="0" fontId="9" fillId="0" borderId="19" xfId="0" applyFont="1" applyBorder="1" applyAlignment="1">
      <alignment vertical="center"/>
    </xf>
    <xf numFmtId="0" fontId="0" fillId="0" borderId="19" xfId="0" applyBorder="1" applyAlignment="1">
      <alignment horizontal="center" vertical="center"/>
    </xf>
    <xf numFmtId="0" fontId="14" fillId="10" borderId="18" xfId="0" applyFont="1" applyFill="1" applyBorder="1" applyAlignment="1">
      <alignment vertical="center"/>
    </xf>
    <xf numFmtId="0" fontId="14" fillId="10" borderId="19" xfId="0" applyFont="1" applyFill="1" applyBorder="1" applyAlignment="1">
      <alignment vertical="center"/>
    </xf>
    <xf numFmtId="0" fontId="13" fillId="10" borderId="19" xfId="0" applyFont="1" applyFill="1" applyBorder="1" applyAlignment="1">
      <alignment horizontal="center" vertical="center"/>
    </xf>
    <xf numFmtId="0" fontId="3" fillId="0" borderId="0" xfId="0" applyFont="1" applyAlignment="1">
      <alignment vertical="center"/>
    </xf>
    <xf numFmtId="0" fontId="0" fillId="7" borderId="19" xfId="0" applyFill="1" applyBorder="1" applyAlignment="1">
      <alignment horizontal="center" vertical="center"/>
    </xf>
    <xf numFmtId="0" fontId="13" fillId="7" borderId="19" xfId="0" applyFont="1" applyFill="1" applyBorder="1" applyAlignment="1">
      <alignment horizontal="center" vertical="center"/>
    </xf>
    <xf numFmtId="9" fontId="5" fillId="8" borderId="1" xfId="0" applyNumberFormat="1" applyFont="1" applyFill="1" applyBorder="1" applyAlignment="1">
      <alignment horizontal="center" vertical="center"/>
    </xf>
    <xf numFmtId="9" fontId="11" fillId="5" borderId="1" xfId="0" applyNumberFormat="1" applyFont="1" applyFill="1" applyBorder="1" applyAlignment="1">
      <alignment horizontal="center" vertical="center"/>
    </xf>
    <xf numFmtId="9" fontId="5" fillId="5" borderId="1" xfId="0" applyNumberFormat="1" applyFont="1" applyFill="1" applyBorder="1" applyAlignment="1">
      <alignment horizontal="center" vertical="center"/>
    </xf>
    <xf numFmtId="9" fontId="5" fillId="0" borderId="1" xfId="0" applyNumberFormat="1" applyFont="1" applyBorder="1" applyAlignment="1">
      <alignment horizontal="center" vertical="center"/>
    </xf>
    <xf numFmtId="9" fontId="5" fillId="4"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10" fontId="0" fillId="0" borderId="0" xfId="0" applyNumberFormat="1"/>
    <xf numFmtId="166" fontId="0" fillId="0" borderId="0" xfId="1" applyNumberFormat="1" applyFont="1"/>
    <xf numFmtId="0" fontId="13" fillId="9" borderId="19" xfId="0" applyFont="1" applyFill="1" applyBorder="1" applyAlignment="1">
      <alignment horizontal="center" vertical="center" wrapText="1"/>
    </xf>
    <xf numFmtId="0" fontId="2" fillId="2" borderId="6" xfId="0" applyFont="1" applyFill="1" applyBorder="1" applyAlignment="1" applyProtection="1">
      <alignment wrapText="1"/>
      <protection locked="0"/>
    </xf>
    <xf numFmtId="0" fontId="2" fillId="2" borderId="5" xfId="0" applyFont="1" applyFill="1" applyBorder="1" applyAlignment="1" applyProtection="1">
      <alignment wrapText="1"/>
      <protection locked="0"/>
    </xf>
    <xf numFmtId="0" fontId="2" fillId="2" borderId="7" xfId="0" applyFont="1" applyFill="1" applyBorder="1" applyAlignment="1" applyProtection="1">
      <alignment wrapText="1"/>
      <protection locked="0"/>
    </xf>
    <xf numFmtId="0" fontId="0" fillId="0" borderId="0" xfId="0" applyProtection="1">
      <protection locked="0"/>
    </xf>
    <xf numFmtId="2" fontId="0" fillId="0" borderId="0" xfId="0" applyNumberFormat="1" applyProtection="1">
      <protection locked="0"/>
    </xf>
    <xf numFmtId="3" fontId="0" fillId="0" borderId="0" xfId="0" applyNumberFormat="1" applyProtection="1">
      <protection locked="0"/>
    </xf>
    <xf numFmtId="165" fontId="2" fillId="2" borderId="6" xfId="0" applyNumberFormat="1" applyFont="1" applyFill="1" applyBorder="1" applyAlignment="1" applyProtection="1">
      <alignment wrapText="1"/>
      <protection locked="0"/>
    </xf>
    <xf numFmtId="165" fontId="0" fillId="0" borderId="0" xfId="0" applyNumberFormat="1" applyProtection="1">
      <protection locked="0"/>
    </xf>
    <xf numFmtId="164" fontId="0" fillId="0" borderId="0" xfId="0" applyNumberFormat="1" applyProtection="1">
      <protection locked="0"/>
    </xf>
    <xf numFmtId="14" fontId="0" fillId="0" borderId="0" xfId="0" applyNumberFormat="1" applyProtection="1">
      <protection locked="0"/>
    </xf>
    <xf numFmtId="166" fontId="0" fillId="0" borderId="0" xfId="1" applyNumberFormat="1" applyFont="1" applyProtection="1">
      <protection locked="0"/>
    </xf>
    <xf numFmtId="49" fontId="0" fillId="0" borderId="0" xfId="0" applyNumberFormat="1" applyProtection="1">
      <protection locked="0"/>
    </xf>
    <xf numFmtId="0" fontId="1" fillId="5" borderId="6" xfId="0" applyFont="1" applyFill="1" applyBorder="1" applyProtection="1">
      <protection locked="0"/>
    </xf>
    <xf numFmtId="0" fontId="1" fillId="5" borderId="7" xfId="0" applyFont="1" applyFill="1" applyBorder="1" applyProtection="1">
      <protection locked="0"/>
    </xf>
    <xf numFmtId="0" fontId="2" fillId="2" borderId="5" xfId="0" applyFont="1" applyFill="1" applyBorder="1" applyProtection="1">
      <protection locked="0"/>
    </xf>
    <xf numFmtId="0" fontId="17" fillId="0" borderId="0" xfId="0" applyFont="1"/>
    <xf numFmtId="166" fontId="2" fillId="2" borderId="6" xfId="1" applyNumberFormat="1" applyFont="1" applyFill="1" applyBorder="1" applyAlignment="1" applyProtection="1">
      <alignment horizontal="left" wrapText="1"/>
      <protection locked="0"/>
    </xf>
    <xf numFmtId="0" fontId="18" fillId="0" borderId="0" xfId="0" applyFont="1"/>
    <xf numFmtId="2" fontId="1" fillId="5" borderId="6" xfId="0" applyNumberFormat="1" applyFont="1" applyFill="1" applyBorder="1" applyProtection="1">
      <protection locked="0"/>
    </xf>
    <xf numFmtId="166" fontId="0" fillId="0" borderId="0" xfId="1" applyNumberFormat="1" applyFont="1" applyFill="1" applyProtection="1">
      <protection locked="0"/>
    </xf>
    <xf numFmtId="0" fontId="0" fillId="0" borderId="7" xfId="0" applyBorder="1"/>
    <xf numFmtId="0" fontId="0" fillId="0" borderId="2" xfId="0" applyBorder="1" applyAlignment="1">
      <alignment wrapText="1"/>
    </xf>
    <xf numFmtId="0" fontId="0" fillId="0" borderId="2" xfId="0" applyBorder="1"/>
    <xf numFmtId="0" fontId="0" fillId="0" borderId="23" xfId="0" applyBorder="1"/>
    <xf numFmtId="0" fontId="0" fillId="0" borderId="2" xfId="0" applyBorder="1" applyAlignment="1">
      <alignment horizontal="center"/>
    </xf>
    <xf numFmtId="0" fontId="0" fillId="12" borderId="0" xfId="0" applyFill="1" applyProtection="1">
      <protection locked="0"/>
    </xf>
    <xf numFmtId="0" fontId="0" fillId="0" borderId="1" xfId="0" applyBorder="1" applyAlignment="1">
      <alignment horizontal="left"/>
    </xf>
    <xf numFmtId="0" fontId="0" fillId="0" borderId="0" xfId="0" applyAlignment="1">
      <alignment horizontal="left"/>
    </xf>
    <xf numFmtId="0" fontId="0" fillId="0" borderId="2" xfId="0" applyBorder="1" applyAlignment="1">
      <alignment horizontal="left"/>
    </xf>
    <xf numFmtId="0" fontId="20" fillId="0" borderId="0" xfId="0" applyFont="1"/>
    <xf numFmtId="0" fontId="13" fillId="9" borderId="27" xfId="0" applyFont="1" applyFill="1" applyBorder="1" applyAlignment="1">
      <alignment horizontal="center" vertical="center" wrapText="1"/>
    </xf>
    <xf numFmtId="0" fontId="13" fillId="9" borderId="28" xfId="0" applyFont="1" applyFill="1" applyBorder="1" applyAlignment="1">
      <alignment horizontal="center" vertical="center" wrapText="1"/>
    </xf>
    <xf numFmtId="167" fontId="0" fillId="0" borderId="0" xfId="0" applyNumberFormat="1"/>
    <xf numFmtId="167" fontId="0" fillId="0" borderId="0" xfId="0" applyNumberFormat="1" applyAlignment="1">
      <alignment horizontal="center"/>
    </xf>
    <xf numFmtId="0" fontId="12" fillId="9" borderId="24" xfId="0" applyFont="1" applyFill="1" applyBorder="1" applyAlignment="1">
      <alignment horizontal="center" vertical="center"/>
    </xf>
    <xf numFmtId="0" fontId="12" fillId="9" borderId="29" xfId="0" applyFont="1" applyFill="1" applyBorder="1" applyAlignment="1">
      <alignment vertical="center"/>
    </xf>
    <xf numFmtId="0" fontId="12" fillId="9" borderId="25" xfId="0" applyFont="1" applyFill="1" applyBorder="1" applyAlignment="1">
      <alignment vertical="center"/>
    </xf>
    <xf numFmtId="0" fontId="12" fillId="9" borderId="0" xfId="0" applyFont="1" applyFill="1" applyAlignment="1">
      <alignment vertical="center"/>
    </xf>
    <xf numFmtId="0" fontId="12" fillId="9" borderId="0" xfId="0" applyFont="1" applyFill="1" applyAlignment="1">
      <alignment vertical="center" wrapText="1"/>
    </xf>
    <xf numFmtId="0" fontId="0" fillId="0" borderId="0" xfId="0" applyAlignment="1">
      <alignment horizontal="center"/>
    </xf>
    <xf numFmtId="0" fontId="13" fillId="9" borderId="26" xfId="0" applyFont="1" applyFill="1" applyBorder="1" applyAlignment="1">
      <alignment horizontal="center" vertical="center" wrapText="1"/>
    </xf>
    <xf numFmtId="0" fontId="1" fillId="3" borderId="6" xfId="0" applyFont="1" applyFill="1" applyBorder="1" applyProtection="1">
      <protection locked="0"/>
    </xf>
    <xf numFmtId="0" fontId="1" fillId="3" borderId="7" xfId="0" applyFont="1" applyFill="1" applyBorder="1" applyProtection="1">
      <protection locked="0"/>
    </xf>
    <xf numFmtId="0" fontId="2" fillId="14" borderId="5" xfId="0" applyFont="1" applyFill="1" applyBorder="1" applyAlignment="1" applyProtection="1">
      <alignment wrapText="1"/>
      <protection locked="0"/>
    </xf>
    <xf numFmtId="0" fontId="2" fillId="14" borderId="6" xfId="0" applyFont="1" applyFill="1" applyBorder="1" applyAlignment="1" applyProtection="1">
      <alignment wrapText="1"/>
      <protection locked="0"/>
    </xf>
    <xf numFmtId="0" fontId="2" fillId="14" borderId="8" xfId="0" applyFont="1" applyFill="1" applyBorder="1" applyAlignment="1" applyProtection="1">
      <alignment wrapText="1"/>
      <protection locked="0"/>
    </xf>
    <xf numFmtId="0" fontId="2" fillId="14" borderId="9" xfId="0" applyFont="1" applyFill="1" applyBorder="1" applyAlignment="1" applyProtection="1">
      <alignment wrapText="1"/>
      <protection locked="0"/>
    </xf>
    <xf numFmtId="0" fontId="2" fillId="3" borderId="5" xfId="0" applyFont="1" applyFill="1" applyBorder="1" applyProtection="1">
      <protection locked="0"/>
    </xf>
    <xf numFmtId="0" fontId="2" fillId="5" borderId="5" xfId="0" applyFont="1" applyFill="1" applyBorder="1" applyProtection="1">
      <protection locked="0"/>
    </xf>
    <xf numFmtId="0" fontId="2" fillId="9" borderId="5" xfId="0" applyFont="1" applyFill="1" applyBorder="1" applyAlignment="1" applyProtection="1">
      <alignment wrapText="1"/>
      <protection locked="0"/>
    </xf>
    <xf numFmtId="0" fontId="2" fillId="9" borderId="6" xfId="0" applyFont="1" applyFill="1" applyBorder="1" applyAlignment="1" applyProtection="1">
      <alignment wrapText="1"/>
      <protection locked="0"/>
    </xf>
    <xf numFmtId="0" fontId="2" fillId="9" borderId="7" xfId="0" applyFont="1" applyFill="1" applyBorder="1" applyAlignment="1" applyProtection="1">
      <alignment wrapText="1"/>
      <protection locked="0"/>
    </xf>
    <xf numFmtId="0" fontId="2" fillId="13" borderId="6" xfId="0" applyFont="1" applyFill="1" applyBorder="1" applyAlignment="1" applyProtection="1">
      <alignment wrapText="1"/>
      <protection locked="0"/>
    </xf>
    <xf numFmtId="0" fontId="0" fillId="16" borderId="0" xfId="0" applyFill="1" applyProtection="1">
      <protection locked="0"/>
    </xf>
    <xf numFmtId="0" fontId="2" fillId="11" borderId="6" xfId="0" applyFont="1" applyFill="1" applyBorder="1" applyAlignment="1" applyProtection="1">
      <alignment wrapText="1"/>
      <protection locked="0"/>
    </xf>
    <xf numFmtId="2" fontId="2" fillId="11" borderId="8" xfId="0" applyNumberFormat="1" applyFont="1" applyFill="1" applyBorder="1" applyAlignment="1">
      <alignment wrapText="1"/>
    </xf>
    <xf numFmtId="0" fontId="2" fillId="17" borderId="8" xfId="0" applyFont="1" applyFill="1" applyBorder="1" applyAlignment="1">
      <alignment wrapText="1"/>
    </xf>
    <xf numFmtId="2" fontId="2" fillId="17" borderId="8" xfId="0" applyNumberFormat="1" applyFont="1" applyFill="1" applyBorder="1" applyAlignment="1">
      <alignment wrapText="1"/>
    </xf>
    <xf numFmtId="2" fontId="1" fillId="3" borderId="6" xfId="0" applyNumberFormat="1" applyFont="1" applyFill="1" applyBorder="1" applyAlignment="1">
      <alignment horizontal="center"/>
    </xf>
    <xf numFmtId="2" fontId="1" fillId="3" borderId="0" xfId="0" applyNumberFormat="1" applyFont="1" applyFill="1" applyAlignment="1" applyProtection="1">
      <alignment horizontal="center"/>
      <protection locked="0"/>
    </xf>
    <xf numFmtId="0" fontId="0" fillId="0" borderId="30" xfId="0" applyBorder="1" applyProtection="1">
      <protection locked="0"/>
    </xf>
    <xf numFmtId="9" fontId="21" fillId="0" borderId="31" xfId="0" applyNumberFormat="1" applyFont="1" applyBorder="1" applyProtection="1">
      <protection locked="0"/>
    </xf>
    <xf numFmtId="0" fontId="2" fillId="17" borderId="8" xfId="0" applyFont="1" applyFill="1" applyBorder="1" applyAlignment="1" applyProtection="1">
      <alignment wrapText="1"/>
      <protection locked="0"/>
    </xf>
    <xf numFmtId="2" fontId="2" fillId="17" borderId="8" xfId="0" applyNumberFormat="1" applyFont="1" applyFill="1" applyBorder="1" applyAlignment="1" applyProtection="1">
      <alignment wrapText="1"/>
      <protection locked="0"/>
    </xf>
    <xf numFmtId="2" fontId="1" fillId="3" borderId="6" xfId="0" applyNumberFormat="1" applyFont="1" applyFill="1" applyBorder="1" applyAlignment="1" applyProtection="1">
      <alignment horizontal="center"/>
      <protection locked="0"/>
    </xf>
    <xf numFmtId="0" fontId="2" fillId="17" borderId="10" xfId="0" applyFont="1" applyFill="1" applyBorder="1" applyAlignment="1" applyProtection="1">
      <alignment wrapText="1"/>
      <protection locked="0"/>
    </xf>
    <xf numFmtId="0" fontId="2" fillId="9" borderId="8" xfId="0" applyFont="1" applyFill="1" applyBorder="1" applyAlignment="1" applyProtection="1">
      <alignment wrapText="1"/>
      <protection locked="0"/>
    </xf>
    <xf numFmtId="2" fontId="2" fillId="15" borderId="6" xfId="0" applyNumberFormat="1" applyFont="1" applyFill="1" applyBorder="1" applyAlignment="1" applyProtection="1">
      <alignment horizontal="left"/>
      <protection locked="0"/>
    </xf>
    <xf numFmtId="2" fontId="1" fillId="15" borderId="6" xfId="0" applyNumberFormat="1" applyFont="1" applyFill="1" applyBorder="1" applyAlignment="1" applyProtection="1">
      <alignment horizontal="center"/>
      <protection locked="0"/>
    </xf>
    <xf numFmtId="2" fontId="2" fillId="2" borderId="8" xfId="0" applyNumberFormat="1" applyFont="1" applyFill="1" applyBorder="1" applyAlignment="1">
      <alignment wrapText="1"/>
    </xf>
    <xf numFmtId="10" fontId="2" fillId="2" borderId="8" xfId="0" applyNumberFormat="1" applyFont="1" applyFill="1" applyBorder="1" applyAlignment="1">
      <alignment wrapText="1"/>
    </xf>
    <xf numFmtId="0" fontId="2" fillId="2" borderId="8" xfId="0" applyFont="1" applyFill="1" applyBorder="1" applyAlignment="1">
      <alignment wrapText="1"/>
    </xf>
    <xf numFmtId="0" fontId="2" fillId="13" borderId="0" xfId="0" applyFont="1" applyFill="1" applyAlignment="1">
      <alignment wrapText="1"/>
    </xf>
    <xf numFmtId="0" fontId="0" fillId="8" borderId="0" xfId="0" applyFill="1"/>
    <xf numFmtId="0" fontId="2" fillId="6" borderId="0" xfId="0" applyFont="1" applyFill="1" applyAlignment="1" applyProtection="1">
      <alignment horizontal="left"/>
      <protection locked="0"/>
    </xf>
    <xf numFmtId="0" fontId="2" fillId="2" borderId="10" xfId="0" applyFont="1" applyFill="1" applyBorder="1" applyAlignment="1">
      <alignment wrapText="1"/>
    </xf>
    <xf numFmtId="0" fontId="24" fillId="18" borderId="0" xfId="0" applyFont="1" applyFill="1" applyAlignment="1">
      <alignment vertical="center"/>
    </xf>
    <xf numFmtId="0" fontId="25" fillId="18" borderId="0" xfId="0" applyFont="1" applyFill="1" applyAlignment="1">
      <alignment vertical="center"/>
    </xf>
    <xf numFmtId="0" fontId="0" fillId="18" borderId="0" xfId="0" applyFill="1"/>
    <xf numFmtId="0" fontId="0" fillId="18" borderId="0" xfId="0" applyFill="1" applyAlignment="1">
      <alignment vertical="center" wrapText="1"/>
    </xf>
    <xf numFmtId="0" fontId="26" fillId="18" borderId="0" xfId="0" applyFont="1" applyFill="1" applyAlignment="1">
      <alignment horizontal="left" vertical="center" wrapText="1" indent="2"/>
    </xf>
    <xf numFmtId="0" fontId="0" fillId="18" borderId="0" xfId="0" applyFill="1" applyAlignment="1">
      <alignment wrapText="1"/>
    </xf>
    <xf numFmtId="0" fontId="23" fillId="0" borderId="0" xfId="2" applyAlignment="1">
      <alignment horizontal="left" vertical="top" indent="2"/>
    </xf>
    <xf numFmtId="0" fontId="23" fillId="18" borderId="0" xfId="2" applyFill="1" applyAlignment="1">
      <alignment horizontal="left" indent="2"/>
    </xf>
    <xf numFmtId="0" fontId="23" fillId="18" borderId="0" xfId="2" applyFill="1"/>
    <xf numFmtId="0" fontId="28" fillId="18" borderId="0" xfId="2" applyFont="1" applyFill="1"/>
    <xf numFmtId="0" fontId="29" fillId="18" borderId="0" xfId="2" applyFont="1" applyFill="1" applyAlignment="1">
      <alignment horizontal="left" indent="2"/>
    </xf>
    <xf numFmtId="0" fontId="0" fillId="18" borderId="0" xfId="0" applyFill="1" applyAlignment="1">
      <alignment horizontal="left" vertical="center" wrapText="1" indent="2"/>
    </xf>
    <xf numFmtId="0" fontId="2" fillId="18" borderId="0" xfId="0" applyFont="1" applyFill="1" applyAlignment="1">
      <alignment vertical="center"/>
    </xf>
    <xf numFmtId="0" fontId="32" fillId="18" borderId="0" xfId="0" applyFont="1" applyFill="1" applyAlignment="1">
      <alignment horizontal="center"/>
    </xf>
    <xf numFmtId="0" fontId="0" fillId="0" borderId="32" xfId="0" applyBorder="1" applyProtection="1">
      <protection locked="0"/>
    </xf>
    <xf numFmtId="165" fontId="0" fillId="0" borderId="32" xfId="0" applyNumberFormat="1" applyBorder="1" applyProtection="1">
      <protection locked="0"/>
    </xf>
    <xf numFmtId="49" fontId="0" fillId="0" borderId="32" xfId="0" applyNumberFormat="1" applyBorder="1" applyProtection="1">
      <protection locked="0"/>
    </xf>
    <xf numFmtId="14" fontId="0" fillId="0" borderId="32" xfId="0" applyNumberFormat="1" applyBorder="1" applyProtection="1">
      <protection locked="0"/>
    </xf>
    <xf numFmtId="0" fontId="0" fillId="0" borderId="33" xfId="0" applyBorder="1"/>
    <xf numFmtId="0" fontId="0" fillId="0" borderId="33" xfId="0" applyBorder="1" applyProtection="1">
      <protection locked="0"/>
    </xf>
    <xf numFmtId="164" fontId="0" fillId="0" borderId="33" xfId="0" applyNumberFormat="1" applyBorder="1" applyProtection="1">
      <protection locked="0"/>
    </xf>
    <xf numFmtId="165" fontId="0" fillId="0" borderId="33" xfId="0" applyNumberFormat="1" applyBorder="1" applyProtection="1">
      <protection locked="0"/>
    </xf>
    <xf numFmtId="0" fontId="2" fillId="17" borderId="0" xfId="0" applyFont="1" applyFill="1" applyAlignment="1">
      <alignment wrapText="1"/>
    </xf>
    <xf numFmtId="0" fontId="2" fillId="2" borderId="0" xfId="0" applyFont="1" applyFill="1" applyAlignment="1">
      <alignment wrapText="1"/>
    </xf>
    <xf numFmtId="165" fontId="2" fillId="2" borderId="0" xfId="0" applyNumberFormat="1" applyFont="1" applyFill="1" applyAlignment="1">
      <alignment wrapText="1"/>
    </xf>
    <xf numFmtId="0" fontId="2" fillId="2" borderId="0" xfId="0" applyFont="1" applyFill="1"/>
    <xf numFmtId="0" fontId="1" fillId="3" borderId="0" xfId="0" applyFont="1" applyFill="1" applyProtection="1">
      <protection locked="0"/>
    </xf>
    <xf numFmtId="0" fontId="2" fillId="3" borderId="0" xfId="0" applyFont="1" applyFill="1" applyProtection="1">
      <protection locked="0"/>
    </xf>
    <xf numFmtId="0" fontId="1" fillId="6" borderId="0" xfId="0" applyFont="1" applyFill="1" applyProtection="1">
      <protection locked="0"/>
    </xf>
    <xf numFmtId="0" fontId="2" fillId="6" borderId="0" xfId="0" applyFont="1" applyFill="1" applyProtection="1">
      <protection locked="0"/>
    </xf>
    <xf numFmtId="165" fontId="2" fillId="8" borderId="6" xfId="0" applyNumberFormat="1" applyFont="1" applyFill="1" applyBorder="1" applyAlignment="1" applyProtection="1">
      <alignment wrapText="1"/>
      <protection locked="0"/>
    </xf>
    <xf numFmtId="0" fontId="2" fillId="3" borderId="6" xfId="0" applyFont="1" applyFill="1" applyBorder="1" applyAlignment="1">
      <alignment horizontal="left"/>
    </xf>
    <xf numFmtId="9" fontId="0" fillId="0" borderId="0" xfId="3" applyFont="1"/>
    <xf numFmtId="166" fontId="0" fillId="12" borderId="0" xfId="1" applyNumberFormat="1" applyFont="1" applyFill="1" applyProtection="1">
      <protection locked="0"/>
    </xf>
    <xf numFmtId="10" fontId="0" fillId="18" borderId="0" xfId="0" applyNumberFormat="1" applyFill="1"/>
    <xf numFmtId="2" fontId="0" fillId="18" borderId="0" xfId="0" applyNumberFormat="1" applyFill="1"/>
    <xf numFmtId="167" fontId="1" fillId="3" borderId="6" xfId="0" applyNumberFormat="1" applyFont="1" applyFill="1" applyBorder="1" applyAlignment="1">
      <alignment horizontal="center"/>
    </xf>
    <xf numFmtId="167" fontId="2" fillId="17" borderId="8" xfId="0" applyNumberFormat="1" applyFont="1" applyFill="1" applyBorder="1" applyAlignment="1">
      <alignment wrapText="1"/>
    </xf>
    <xf numFmtId="9" fontId="21" fillId="0" borderId="34" xfId="0" applyNumberFormat="1" applyFont="1" applyBorder="1" applyProtection="1">
      <protection locked="0"/>
    </xf>
    <xf numFmtId="0" fontId="33" fillId="0" borderId="0" xfId="0" applyFont="1"/>
    <xf numFmtId="0" fontId="0" fillId="19" borderId="0" xfId="0" applyFill="1" applyProtection="1">
      <protection locked="0"/>
    </xf>
    <xf numFmtId="165" fontId="0" fillId="19" borderId="0" xfId="0" applyNumberFormat="1" applyFill="1" applyProtection="1">
      <protection locked="0"/>
    </xf>
    <xf numFmtId="2" fontId="0" fillId="19" borderId="0" xfId="0" applyNumberFormat="1" applyFill="1" applyProtection="1">
      <protection locked="0"/>
    </xf>
    <xf numFmtId="164" fontId="0" fillId="19" borderId="0" xfId="0" applyNumberFormat="1" applyFill="1" applyProtection="1">
      <protection locked="0"/>
    </xf>
    <xf numFmtId="166" fontId="0" fillId="19" borderId="0" xfId="1" applyNumberFormat="1" applyFont="1" applyFill="1" applyProtection="1">
      <protection locked="0"/>
    </xf>
    <xf numFmtId="2" fontId="0" fillId="19" borderId="0" xfId="0" applyNumberFormat="1" applyFill="1"/>
    <xf numFmtId="10" fontId="0" fillId="19" borderId="0" xfId="0" applyNumberFormat="1" applyFill="1"/>
    <xf numFmtId="0" fontId="0" fillId="19" borderId="30" xfId="0" applyFill="1" applyBorder="1" applyProtection="1">
      <protection locked="0"/>
    </xf>
    <xf numFmtId="9" fontId="21" fillId="19" borderId="31" xfId="0" applyNumberFormat="1" applyFont="1" applyFill="1" applyBorder="1" applyProtection="1">
      <protection locked="0"/>
    </xf>
    <xf numFmtId="3" fontId="0" fillId="19" borderId="0" xfId="0" applyNumberFormat="1" applyFill="1" applyProtection="1">
      <protection locked="0"/>
    </xf>
    <xf numFmtId="0" fontId="0" fillId="19" borderId="0" xfId="0" applyFill="1"/>
    <xf numFmtId="2" fontId="0" fillId="0" borderId="0" xfId="1" applyNumberFormat="1" applyFont="1"/>
    <xf numFmtId="167" fontId="0" fillId="19" borderId="0" xfId="0" applyNumberFormat="1" applyFill="1"/>
    <xf numFmtId="0" fontId="1" fillId="20" borderId="35" xfId="0" applyFont="1" applyFill="1" applyBorder="1"/>
    <xf numFmtId="0" fontId="1" fillId="20" borderId="35" xfId="0" applyFont="1" applyFill="1" applyBorder="1" applyAlignment="1">
      <alignment horizontal="left"/>
    </xf>
    <xf numFmtId="1" fontId="0" fillId="0" borderId="0" xfId="0" applyNumberFormat="1"/>
    <xf numFmtId="0" fontId="1" fillId="20" borderId="36" xfId="0" applyFont="1" applyFill="1" applyBorder="1" applyAlignment="1">
      <alignment wrapText="1"/>
    </xf>
    <xf numFmtId="0" fontId="1" fillId="20" borderId="36" xfId="0" applyFont="1" applyFill="1" applyBorder="1"/>
    <xf numFmtId="168" fontId="0" fillId="0" borderId="0" xfId="0" applyNumberFormat="1"/>
    <xf numFmtId="1" fontId="34" fillId="21" borderId="10" xfId="0" applyNumberFormat="1" applyFont="1" applyFill="1" applyBorder="1" applyAlignment="1">
      <alignment horizontal="left" wrapText="1"/>
    </xf>
    <xf numFmtId="2" fontId="34" fillId="21" borderId="10" xfId="0" applyNumberFormat="1" applyFont="1" applyFill="1" applyBorder="1" applyAlignment="1">
      <alignment horizontal="left" wrapText="1"/>
    </xf>
    <xf numFmtId="1" fontId="35" fillId="0" borderId="6" xfId="3" applyNumberFormat="1" applyFont="1" applyBorder="1" applyAlignment="1">
      <alignment horizontal="left"/>
    </xf>
    <xf numFmtId="2" fontId="35" fillId="0" borderId="8" xfId="0" applyNumberFormat="1" applyFont="1" applyBorder="1" applyAlignment="1">
      <alignment horizontal="left"/>
    </xf>
    <xf numFmtId="168" fontId="35" fillId="0" borderId="6" xfId="0" applyNumberFormat="1" applyFont="1" applyBorder="1" applyAlignment="1">
      <alignment horizontal="left"/>
    </xf>
    <xf numFmtId="0" fontId="34" fillId="21" borderId="6" xfId="0" applyFont="1" applyFill="1" applyBorder="1" applyAlignment="1">
      <alignment horizontal="left" wrapText="1"/>
    </xf>
    <xf numFmtId="1" fontId="34" fillId="21" borderId="7" xfId="0" applyNumberFormat="1" applyFont="1" applyFill="1" applyBorder="1" applyAlignment="1">
      <alignment horizontal="left" wrapText="1"/>
    </xf>
    <xf numFmtId="1" fontId="34" fillId="21" borderId="5" xfId="0" applyNumberFormat="1" applyFont="1" applyFill="1" applyBorder="1" applyAlignment="1">
      <alignment horizontal="left" wrapText="1"/>
    </xf>
    <xf numFmtId="1" fontId="35" fillId="0" borderId="7" xfId="3" applyNumberFormat="1" applyFont="1" applyBorder="1" applyAlignment="1">
      <alignment horizontal="left"/>
    </xf>
    <xf numFmtId="1" fontId="35" fillId="0" borderId="5" xfId="3" applyNumberFormat="1" applyFont="1" applyBorder="1" applyAlignment="1">
      <alignment horizontal="left"/>
    </xf>
    <xf numFmtId="9" fontId="34" fillId="21" borderId="10" xfId="3" applyFont="1" applyFill="1" applyBorder="1" applyAlignment="1">
      <alignment horizontal="left" wrapText="1"/>
    </xf>
    <xf numFmtId="168" fontId="34" fillId="21" borderId="10" xfId="0" applyNumberFormat="1" applyFont="1" applyFill="1" applyBorder="1" applyAlignment="1">
      <alignment horizontal="left" wrapText="1"/>
    </xf>
    <xf numFmtId="9" fontId="35" fillId="0" borderId="8" xfId="3" applyFont="1" applyBorder="1" applyAlignment="1">
      <alignment horizontal="left"/>
    </xf>
    <xf numFmtId="168" fontId="35" fillId="0" borderId="8" xfId="0" applyNumberFormat="1" applyFont="1" applyBorder="1" applyAlignment="1">
      <alignment horizontal="left"/>
    </xf>
    <xf numFmtId="169" fontId="35" fillId="0" borderId="8" xfId="3" applyNumberFormat="1" applyFont="1" applyBorder="1" applyAlignment="1">
      <alignment horizontal="left"/>
    </xf>
    <xf numFmtId="0" fontId="34" fillId="21" borderId="10" xfId="0" applyFont="1" applyFill="1" applyBorder="1" applyAlignment="1">
      <alignment wrapText="1"/>
    </xf>
    <xf numFmtId="0" fontId="0" fillId="22" borderId="0" xfId="0" applyFill="1"/>
    <xf numFmtId="0" fontId="14" fillId="0" borderId="0" xfId="0" applyFont="1" applyAlignment="1">
      <alignment vertical="center"/>
    </xf>
    <xf numFmtId="0" fontId="34" fillId="21" borderId="10" xfId="0" applyFont="1" applyFill="1" applyBorder="1" applyAlignment="1">
      <alignment horizontal="left" wrapText="1"/>
    </xf>
    <xf numFmtId="0" fontId="2" fillId="0" borderId="0" xfId="0" applyFont="1"/>
    <xf numFmtId="0" fontId="0" fillId="0" borderId="0" xfId="0" applyAlignment="1">
      <alignment wrapText="1"/>
    </xf>
    <xf numFmtId="2" fontId="0" fillId="0" borderId="0" xfId="0" applyNumberFormat="1" applyAlignment="1">
      <alignment wrapText="1"/>
    </xf>
    <xf numFmtId="3" fontId="0" fillId="0" borderId="0" xfId="0" applyNumberFormat="1"/>
    <xf numFmtId="0" fontId="0" fillId="0" borderId="0" xfId="0" pivotButton="1"/>
    <xf numFmtId="0" fontId="37" fillId="0" borderId="0" xfId="0" applyFont="1"/>
    <xf numFmtId="2" fontId="0" fillId="23" borderId="0" xfId="0" applyNumberFormat="1" applyFill="1" applyProtection="1">
      <protection locked="0"/>
    </xf>
    <xf numFmtId="165" fontId="0" fillId="0" borderId="0" xfId="0" applyNumberFormat="1"/>
    <xf numFmtId="16" fontId="1" fillId="0" borderId="0" xfId="0" applyNumberFormat="1" applyFont="1"/>
    <xf numFmtId="0" fontId="0" fillId="0" borderId="1" xfId="0" applyBorder="1" applyProtection="1">
      <protection locked="0"/>
    </xf>
    <xf numFmtId="0" fontId="0" fillId="0" borderId="7" xfId="0" applyBorder="1" applyProtection="1">
      <protection locked="0"/>
    </xf>
    <xf numFmtId="2" fontId="0" fillId="0" borderId="1" xfId="0" applyNumberFormat="1" applyBorder="1"/>
    <xf numFmtId="170" fontId="0" fillId="0" borderId="0" xfId="0" applyNumberFormat="1"/>
    <xf numFmtId="0" fontId="0" fillId="0" borderId="3" xfId="0" applyBorder="1" applyAlignment="1">
      <alignment horizontal="left"/>
    </xf>
    <xf numFmtId="0" fontId="0" fillId="0" borderId="3" xfId="0" applyBorder="1" applyAlignment="1">
      <alignment horizontal="center"/>
    </xf>
    <xf numFmtId="2" fontId="0" fillId="0" borderId="1" xfId="0" applyNumberFormat="1" applyBorder="1" applyProtection="1">
      <protection locked="0"/>
    </xf>
    <xf numFmtId="2" fontId="0" fillId="12" borderId="0" xfId="0" applyNumberFormat="1" applyFill="1"/>
    <xf numFmtId="0" fontId="12" fillId="9" borderId="13" xfId="0" applyFont="1" applyFill="1" applyBorder="1" applyAlignment="1">
      <alignment horizontal="center" vertical="center"/>
    </xf>
    <xf numFmtId="0" fontId="12" fillId="9" borderId="11" xfId="0" applyFont="1" applyFill="1" applyBorder="1" applyAlignment="1">
      <alignment horizontal="center" vertical="center"/>
    </xf>
    <xf numFmtId="0" fontId="12" fillId="9" borderId="13" xfId="0" applyFont="1" applyFill="1" applyBorder="1" applyAlignment="1">
      <alignment horizontal="center" vertical="center" wrapText="1"/>
    </xf>
    <xf numFmtId="0" fontId="37" fillId="24" borderId="0" xfId="0" applyFont="1" applyFill="1" applyProtection="1">
      <protection locked="0"/>
    </xf>
    <xf numFmtId="0" fontId="2" fillId="15" borderId="5" xfId="0" applyFont="1" applyFill="1" applyBorder="1" applyAlignment="1" applyProtection="1">
      <alignment horizontal="left"/>
      <protection locked="0"/>
    </xf>
    <xf numFmtId="0" fontId="2" fillId="15" borderId="6" xfId="0" applyFont="1" applyFill="1" applyBorder="1" applyAlignment="1" applyProtection="1">
      <alignment horizontal="left"/>
      <protection locked="0"/>
    </xf>
    <xf numFmtId="0" fontId="2" fillId="6" borderId="6" xfId="0" applyFont="1" applyFill="1" applyBorder="1" applyAlignment="1" applyProtection="1">
      <alignment horizontal="left"/>
      <protection locked="0"/>
    </xf>
    <xf numFmtId="0" fontId="2" fillId="6" borderId="5" xfId="0" applyFont="1" applyFill="1" applyBorder="1" applyAlignment="1" applyProtection="1">
      <alignment horizontal="left"/>
      <protection locked="0"/>
    </xf>
    <xf numFmtId="0" fontId="12" fillId="9" borderId="13"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7" xfId="0" applyFont="1" applyFill="1" applyBorder="1" applyAlignment="1">
      <alignment horizontal="center" vertical="center"/>
    </xf>
    <xf numFmtId="0" fontId="13" fillId="10" borderId="20" xfId="0" applyFont="1" applyFill="1" applyBorder="1" applyAlignment="1">
      <alignment horizontal="center" vertical="center"/>
    </xf>
    <xf numFmtId="0" fontId="13" fillId="10" borderId="21" xfId="0" applyFont="1" applyFill="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12" fillId="9" borderId="11" xfId="0" applyFont="1" applyFill="1" applyBorder="1" applyAlignment="1">
      <alignment horizontal="center" vertical="center"/>
    </xf>
    <xf numFmtId="0" fontId="12" fillId="9" borderId="12"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 fillId="0" borderId="4" xfId="0" applyFont="1" applyBorder="1" applyAlignment="1">
      <alignment horizontal="left" vertical="center"/>
    </xf>
    <xf numFmtId="0" fontId="36" fillId="0" borderId="0" xfId="0" applyFont="1" applyAlignment="1">
      <alignment horizontal="left" vertical="top" wrapText="1"/>
    </xf>
    <xf numFmtId="0" fontId="34" fillId="21" borderId="5" xfId="0" applyFont="1" applyFill="1" applyBorder="1" applyAlignment="1">
      <alignment horizontal="center" vertical="center" wrapText="1"/>
    </xf>
    <xf numFmtId="0" fontId="34" fillId="21" borderId="7" xfId="0" applyFont="1" applyFill="1" applyBorder="1" applyAlignment="1">
      <alignment horizontal="center" vertical="center" wrapText="1"/>
    </xf>
  </cellXfs>
  <cellStyles count="4">
    <cellStyle name="Comma" xfId="1" builtinId="3"/>
    <cellStyle name="Hyperlink" xfId="2" builtinId="8"/>
    <cellStyle name="Normal" xfId="0" builtinId="0"/>
    <cellStyle name="Percent" xfId="3" builtinId="5"/>
  </cellStyles>
  <dxfs count="99">
    <dxf>
      <font>
        <color theme="6" tint="-0.24994659260841701"/>
      </font>
      <fill>
        <patternFill>
          <bgColor theme="6"/>
        </patternFill>
      </fill>
    </dxf>
    <dxf>
      <font>
        <color theme="6" tint="-0.24994659260841701"/>
      </font>
      <fill>
        <patternFill>
          <bgColor theme="6"/>
        </patternFill>
      </fill>
    </dxf>
    <dxf>
      <font>
        <color theme="6" tint="-0.24994659260841701"/>
      </font>
      <fill>
        <patternFill>
          <bgColor theme="6"/>
        </patternFill>
      </fill>
    </dxf>
    <dxf>
      <fill>
        <patternFill>
          <bgColor theme="0" tint="-4.9989318521683403E-2"/>
        </patternFill>
      </fill>
    </dxf>
    <dxf>
      <fill>
        <patternFill>
          <bgColor theme="0" tint="-4.9989318521683403E-2"/>
        </patternFill>
      </fill>
    </dxf>
    <dxf>
      <numFmt numFmtId="170" formatCode="0.0000"/>
    </dxf>
    <dxf>
      <numFmt numFmtId="167" formatCode="0.000"/>
    </dxf>
    <dxf>
      <numFmt numFmtId="2" formatCode="0.00"/>
    </dxf>
    <dxf>
      <numFmt numFmtId="3" formatCode="#,##0"/>
    </dxf>
    <dxf>
      <numFmt numFmtId="2" formatCode="0.00"/>
    </dxf>
    <dxf>
      <alignment wrapText="1"/>
    </dxf>
    <dxf>
      <alignment wrapText="1"/>
    </dxf>
    <dxf>
      <alignment wrapText="1"/>
    </dxf>
    <dxf>
      <alignment wrapText="1"/>
    </dxf>
    <dxf>
      <numFmt numFmtId="2" formatCode="0.00"/>
    </dxf>
    <dxf>
      <numFmt numFmtId="3" formatCode="#,##0"/>
    </dxf>
    <dxf>
      <numFmt numFmtId="2" formatCode="0.00"/>
    </dxf>
    <dxf>
      <alignment wrapText="1"/>
    </dxf>
    <dxf>
      <alignment wrapText="1"/>
    </dxf>
    <dxf>
      <numFmt numFmtId="2" formatCode="0.00"/>
    </dxf>
    <dxf>
      <numFmt numFmtId="3" formatCode="#,##0"/>
    </dxf>
    <dxf>
      <numFmt numFmtId="2" formatCode="0.00"/>
    </dxf>
    <dxf>
      <alignment wrapText="1"/>
    </dxf>
    <dxf>
      <alignment wrapText="1"/>
    </dxf>
    <dxf>
      <alignment wrapText="1"/>
    </dxf>
    <dxf>
      <alignment wrapText="1"/>
    </dxf>
    <dxf>
      <numFmt numFmtId="2" formatCode="0.00"/>
    </dxf>
    <dxf>
      <numFmt numFmtId="2" formatCode="0.00"/>
    </dxf>
    <dxf>
      <numFmt numFmtId="2" formatCode="0.00"/>
    </dxf>
    <dxf>
      <numFmt numFmtId="14" formatCode="0.00%"/>
    </dxf>
    <dxf>
      <numFmt numFmtId="2" formatCode="0.00"/>
    </dxf>
    <dxf>
      <numFmt numFmtId="2" formatCode="0.00"/>
    </dxf>
    <dxf>
      <numFmt numFmtId="2" formatCode="0.00"/>
    </dxf>
    <dxf>
      <numFmt numFmtId="2" formatCode="0.00"/>
    </dxf>
    <dxf>
      <protection locked="0" hidden="0"/>
    </dxf>
    <dxf>
      <protection locked="0" hidden="0"/>
    </dxf>
    <dxf>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167" formatCode="0.000"/>
      <protection locked="1" hidden="0"/>
    </dxf>
    <dxf>
      <font>
        <color theme="1" tint="0.249977111117893"/>
      </font>
      <numFmt numFmtId="13" formatCode="0%"/>
      <border diagonalUp="0" diagonalDown="0" outline="0">
        <left style="thin">
          <color theme="6"/>
        </left>
        <right/>
        <top/>
        <bottom style="thin">
          <color theme="6"/>
        </bottom>
      </border>
      <protection locked="0" hidden="0"/>
    </dxf>
    <dxf>
      <numFmt numFmtId="2" formatCode="0.00"/>
      <protection locked="0" hidden="0"/>
    </dxf>
    <dxf>
      <numFmt numFmtId="2" formatCode="0.00"/>
      <protection locked="0" hidden="0"/>
    </dxf>
    <dxf>
      <numFmt numFmtId="0" formatCode="General"/>
      <border diagonalUp="0" diagonalDown="0">
        <left style="thin">
          <color theme="6"/>
        </left>
        <right style="thin">
          <color theme="6"/>
        </right>
        <top style="thin">
          <color theme="6"/>
        </top>
        <bottom style="thin">
          <color theme="6"/>
        </bottom>
        <vertical/>
        <horizontal/>
      </border>
      <protection locked="0" hidden="0"/>
    </dxf>
    <dxf>
      <numFmt numFmtId="2" formatCode="0.00"/>
    </dxf>
    <dxf>
      <numFmt numFmtId="14" formatCode="0.00%"/>
    </dxf>
    <dxf>
      <numFmt numFmtId="2" formatCode="0.00"/>
    </dxf>
    <dxf>
      <numFmt numFmtId="2" formatCode="0.00"/>
    </dxf>
    <dxf>
      <numFmt numFmtId="2" formatCode="0.00"/>
    </dxf>
    <dxf>
      <numFmt numFmtId="2" formatCode="0.00"/>
    </dxf>
    <dxf>
      <numFmt numFmtId="2" formatCode="0.00"/>
      <protection locked="0" hidden="0"/>
    </dxf>
    <dxf>
      <numFmt numFmtId="2" formatCode="0.00"/>
      <protection locked="0" hidden="0"/>
    </dxf>
    <dxf>
      <protection locked="0" hidden="0"/>
    </dxf>
    <dxf>
      <numFmt numFmtId="166" formatCode="_(* #,##0_);_(* \(#,##0\);_(* &quot;-&quot;??_);_(@_)"/>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numFmt numFmtId="164" formatCode="&quot;$&quot;#,##0"/>
      <protection locked="0" hidden="0"/>
    </dxf>
    <dxf>
      <protection locked="0" hidden="0"/>
    </dxf>
    <dxf>
      <protection locked="0" hidden="0"/>
    </dxf>
    <dxf>
      <protection locked="0" hidden="0"/>
    </dxf>
    <dxf>
      <protection locked="0" hidden="0"/>
    </dxf>
    <dxf>
      <numFmt numFmtId="2" formatCode="0.00"/>
      <protection locked="0" hidden="0"/>
    </dxf>
    <dxf>
      <numFmt numFmtId="2" formatCode="0.00"/>
      <protection locked="0" hidden="0"/>
    </dxf>
    <dxf>
      <numFmt numFmtId="2" formatCode="0.00"/>
      <protection locked="0" hidden="0"/>
    </dxf>
    <dxf>
      <numFmt numFmtId="165" formatCode="0.00000"/>
      <protection locked="0" hidden="0"/>
    </dxf>
    <dxf>
      <numFmt numFmtId="165" formatCode="0.00000"/>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colors>
    <mruColors>
      <color rgb="FF6AA244"/>
      <color rgb="FF81BA5A"/>
      <color rgb="FFFF66FF"/>
      <color rgb="FFB4BFEE"/>
      <color rgb="FF4472C4"/>
      <color rgb="FF608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Charts!$E$2</c:f>
              <c:strCache>
                <c:ptCount val="1"/>
                <c:pt idx="0">
                  <c:v>Target P Reduction </c:v>
                </c:pt>
              </c:strCache>
            </c:strRef>
          </c:tx>
          <c:spPr>
            <a:solidFill>
              <a:schemeClr val="accent3"/>
            </a:solidFill>
            <a:ln>
              <a:noFill/>
            </a:ln>
            <a:effectLst/>
          </c:spPr>
          <c:invertIfNegative val="0"/>
          <c:cat>
            <c:strRef>
              <c:f>Charts!$A$3:$A$16</c:f>
              <c:strCache>
                <c:ptCount val="14"/>
                <c:pt idx="0">
                  <c:v>Otter Creek</c:v>
                </c:pt>
                <c:pt idx="1">
                  <c:v> </c:v>
                </c:pt>
                <c:pt idx="2">
                  <c:v>Main Lake</c:v>
                </c:pt>
                <c:pt idx="3">
                  <c:v> </c:v>
                </c:pt>
                <c:pt idx="4">
                  <c:v>Shelburne Bay</c:v>
                </c:pt>
                <c:pt idx="5">
                  <c:v> </c:v>
                </c:pt>
                <c:pt idx="6">
                  <c:v>Malletts Bay</c:v>
                </c:pt>
                <c:pt idx="7">
                  <c:v> </c:v>
                </c:pt>
                <c:pt idx="8">
                  <c:v>Northeast Arm</c:v>
                </c:pt>
                <c:pt idx="9">
                  <c:v> </c:v>
                </c:pt>
                <c:pt idx="10">
                  <c:v>St. Albans Bay</c:v>
                </c:pt>
                <c:pt idx="11">
                  <c:v> </c:v>
                </c:pt>
                <c:pt idx="12">
                  <c:v>Missisquoi Bay</c:v>
                </c:pt>
                <c:pt idx="13">
                  <c:v> </c:v>
                </c:pt>
              </c:strCache>
            </c:strRef>
          </c:cat>
          <c:val>
            <c:numRef>
              <c:f>Charts!$E$3:$E$16</c:f>
              <c:numCache>
                <c:formatCode>0.0</c:formatCode>
                <c:ptCount val="14"/>
                <c:pt idx="1">
                  <c:v>245.4</c:v>
                </c:pt>
                <c:pt idx="3">
                  <c:v>453.1</c:v>
                </c:pt>
                <c:pt idx="5">
                  <c:v>33.799999999999997</c:v>
                </c:pt>
                <c:pt idx="7">
                  <c:v>244</c:v>
                </c:pt>
                <c:pt idx="9">
                  <c:v>13.6</c:v>
                </c:pt>
                <c:pt idx="11">
                  <c:v>48.8</c:v>
                </c:pt>
                <c:pt idx="13">
                  <c:v>406</c:v>
                </c:pt>
              </c:numCache>
            </c:numRef>
          </c:val>
          <c:extLst>
            <c:ext xmlns:c16="http://schemas.microsoft.com/office/drawing/2014/chart" uri="{C3380CC4-5D6E-409C-BE32-E72D297353CC}">
              <c16:uniqueId val="{00000000-8550-4210-902C-03DAE7F8B66B}"/>
            </c:ext>
          </c:extLst>
        </c:ser>
        <c:ser>
          <c:idx val="1"/>
          <c:order val="1"/>
          <c:tx>
            <c:strRef>
              <c:f>Charts!$B$2</c:f>
              <c:strCache>
                <c:ptCount val="1"/>
                <c:pt idx="0">
                  <c:v>Planned BMP P Reduction </c:v>
                </c:pt>
              </c:strCache>
            </c:strRef>
          </c:tx>
          <c:spPr>
            <a:solidFill>
              <a:schemeClr val="accent2">
                <a:lumMod val="75000"/>
              </a:schemeClr>
            </a:solidFill>
            <a:ln>
              <a:noFill/>
            </a:ln>
            <a:effectLst/>
          </c:spPr>
          <c:invertIfNegative val="0"/>
          <c:dLbls>
            <c:dLbl>
              <c:idx val="0"/>
              <c:tx>
                <c:rich>
                  <a:bodyPr/>
                  <a:lstStyle/>
                  <a:p>
                    <a:fld id="{EDEEB9DA-E24F-4B90-9BA1-4FE118AFD0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550-4210-902C-03DAE7F8B66B}"/>
                </c:ext>
              </c:extLst>
            </c:dLbl>
            <c:dLbl>
              <c:idx val="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8550-4210-902C-03DAE7F8B66B}"/>
                </c:ext>
              </c:extLst>
            </c:dLbl>
            <c:dLbl>
              <c:idx val="2"/>
              <c:layout>
                <c:manualLayout>
                  <c:x val="2.0839845785141191E-3"/>
                  <c:y val="-5.8881014390053776E-2"/>
                </c:manualLayout>
              </c:layout>
              <c:tx>
                <c:rich>
                  <a:bodyPr/>
                  <a:lstStyle/>
                  <a:p>
                    <a:fld id="{2360C06B-2A63-493A-A66C-38CC33CA65E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550-4210-902C-03DAE7F8B66B}"/>
                </c:ext>
              </c:extLst>
            </c:dLbl>
            <c:dLbl>
              <c:idx val="3"/>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8550-4210-902C-03DAE7F8B66B}"/>
                </c:ext>
              </c:extLst>
            </c:dLbl>
            <c:dLbl>
              <c:idx val="4"/>
              <c:tx>
                <c:rich>
                  <a:bodyPr/>
                  <a:lstStyle/>
                  <a:p>
                    <a:fld id="{78C9CE84-088A-48B6-ABCE-A7F11B14C3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550-4210-902C-03DAE7F8B66B}"/>
                </c:ext>
              </c:extLst>
            </c:dLbl>
            <c:dLbl>
              <c:idx val="5"/>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8550-4210-902C-03DAE7F8B66B}"/>
                </c:ext>
              </c:extLst>
            </c:dLbl>
            <c:dLbl>
              <c:idx val="6"/>
              <c:tx>
                <c:rich>
                  <a:bodyPr/>
                  <a:lstStyle/>
                  <a:p>
                    <a:fld id="{C63B11B9-88CC-43F9-B23F-1EA7022846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550-4210-902C-03DAE7F8B66B}"/>
                </c:ext>
              </c:extLst>
            </c:dLbl>
            <c:dLbl>
              <c:idx val="7"/>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550-4210-902C-03DAE7F8B66B}"/>
                </c:ext>
              </c:extLst>
            </c:dLbl>
            <c:dLbl>
              <c:idx val="8"/>
              <c:tx>
                <c:rich>
                  <a:bodyPr/>
                  <a:lstStyle/>
                  <a:p>
                    <a:fld id="{44E216A3-7945-4142-986C-C9A634B40B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550-4210-902C-03DAE7F8B66B}"/>
                </c:ext>
              </c:extLst>
            </c:dLbl>
            <c:dLbl>
              <c:idx val="9"/>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550-4210-902C-03DAE7F8B66B}"/>
                </c:ext>
              </c:extLst>
            </c:dLbl>
            <c:dLbl>
              <c:idx val="10"/>
              <c:tx>
                <c:rich>
                  <a:bodyPr/>
                  <a:lstStyle/>
                  <a:p>
                    <a:fld id="{04C3BE67-B7B5-4C8F-8E88-A3021A6E6C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550-4210-902C-03DAE7F8B66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550-4210-902C-03DAE7F8B66B}"/>
                </c:ext>
              </c:extLst>
            </c:dLbl>
            <c:dLbl>
              <c:idx val="12"/>
              <c:tx>
                <c:rich>
                  <a:bodyPr/>
                  <a:lstStyle/>
                  <a:p>
                    <a:fld id="{1BA3528A-83B6-45BE-9A62-734636ED7C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550-4210-902C-03DAE7F8B66B}"/>
                </c:ext>
              </c:extLst>
            </c:dLbl>
            <c:dLbl>
              <c:idx val="13"/>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550-4210-902C-03DAE7F8B6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Charts!$A$3:$A$16</c:f>
              <c:strCache>
                <c:ptCount val="14"/>
                <c:pt idx="0">
                  <c:v>Otter Creek</c:v>
                </c:pt>
                <c:pt idx="1">
                  <c:v> </c:v>
                </c:pt>
                <c:pt idx="2">
                  <c:v>Main Lake</c:v>
                </c:pt>
                <c:pt idx="3">
                  <c:v> </c:v>
                </c:pt>
                <c:pt idx="4">
                  <c:v>Shelburne Bay</c:v>
                </c:pt>
                <c:pt idx="5">
                  <c:v> </c:v>
                </c:pt>
                <c:pt idx="6">
                  <c:v>Malletts Bay</c:v>
                </c:pt>
                <c:pt idx="7">
                  <c:v> </c:v>
                </c:pt>
                <c:pt idx="8">
                  <c:v>Northeast Arm</c:v>
                </c:pt>
                <c:pt idx="9">
                  <c:v> </c:v>
                </c:pt>
                <c:pt idx="10">
                  <c:v>St. Albans Bay</c:v>
                </c:pt>
                <c:pt idx="11">
                  <c:v> </c:v>
                </c:pt>
                <c:pt idx="12">
                  <c:v>Missisquoi Bay</c:v>
                </c:pt>
                <c:pt idx="13">
                  <c:v> </c:v>
                </c:pt>
              </c:strCache>
            </c:strRef>
          </c:cat>
          <c:val>
            <c:numRef>
              <c:f>Charts!$B$3:$B$16</c:f>
              <c:numCache>
                <c:formatCode>General</c:formatCode>
                <c:ptCount val="14"/>
                <c:pt idx="0" formatCode="0.0">
                  <c:v>4.2535990287914576</c:v>
                </c:pt>
                <c:pt idx="2" formatCode="0.0">
                  <c:v>17.672353033529834</c:v>
                </c:pt>
                <c:pt idx="4" formatCode="0.0">
                  <c:v>12.781580533675353</c:v>
                </c:pt>
                <c:pt idx="6" formatCode="0.0">
                  <c:v>2.2884845231127611</c:v>
                </c:pt>
                <c:pt idx="8" formatCode="0.0">
                  <c:v>0.16829853963608926</c:v>
                </c:pt>
                <c:pt idx="10" formatCode="0.0">
                  <c:v>0.84353361133864646</c:v>
                </c:pt>
                <c:pt idx="12" formatCode="0.0">
                  <c:v>3.5637737978434032</c:v>
                </c:pt>
              </c:numCache>
            </c:numRef>
          </c:val>
          <c:extLst>
            <c:ext xmlns:c15="http://schemas.microsoft.com/office/drawing/2012/chart" uri="{02D57815-91ED-43cb-92C2-25804820EDAC}">
              <c15:datalabelsRange>
                <c15:f>Charts!$F$3:$F$15</c15:f>
                <c15:dlblRangeCache>
                  <c:ptCount val="13"/>
                  <c:pt idx="0">
                    <c:v>2%</c:v>
                  </c:pt>
                  <c:pt idx="2">
                    <c:v>4%</c:v>
                  </c:pt>
                  <c:pt idx="4">
                    <c:v>38%</c:v>
                  </c:pt>
                  <c:pt idx="6">
                    <c:v>1%</c:v>
                  </c:pt>
                  <c:pt idx="8">
                    <c:v>1%</c:v>
                  </c:pt>
                  <c:pt idx="10">
                    <c:v>2%</c:v>
                  </c:pt>
                  <c:pt idx="12">
                    <c:v>1%</c:v>
                  </c:pt>
                </c15:dlblRangeCache>
              </c15:datalabelsRange>
            </c:ext>
            <c:ext xmlns:c16="http://schemas.microsoft.com/office/drawing/2014/chart" uri="{C3380CC4-5D6E-409C-BE32-E72D297353CC}">
              <c16:uniqueId val="{0000000F-8550-4210-902C-03DAE7F8B66B}"/>
            </c:ext>
          </c:extLst>
        </c:ser>
        <c:ser>
          <c:idx val="2"/>
          <c:order val="2"/>
          <c:tx>
            <c:strRef>
              <c:f>Charts!$C$2</c:f>
              <c:strCache>
                <c:ptCount val="1"/>
                <c:pt idx="0">
                  <c:v>Completed BMP P Reduction </c:v>
                </c:pt>
              </c:strCache>
            </c:strRef>
          </c:tx>
          <c:spPr>
            <a:solidFill>
              <a:schemeClr val="accent2">
                <a:lumMod val="40000"/>
                <a:lumOff val="60000"/>
              </a:schemeClr>
            </a:solidFill>
            <a:ln>
              <a:noFill/>
            </a:ln>
            <a:effectLst/>
          </c:spPr>
          <c:invertIfNegative val="0"/>
          <c:cat>
            <c:strRef>
              <c:f>Charts!$A$3:$A$16</c:f>
              <c:strCache>
                <c:ptCount val="14"/>
                <c:pt idx="0">
                  <c:v>Otter Creek</c:v>
                </c:pt>
                <c:pt idx="1">
                  <c:v> </c:v>
                </c:pt>
                <c:pt idx="2">
                  <c:v>Main Lake</c:v>
                </c:pt>
                <c:pt idx="3">
                  <c:v> </c:v>
                </c:pt>
                <c:pt idx="4">
                  <c:v>Shelburne Bay</c:v>
                </c:pt>
                <c:pt idx="5">
                  <c:v> </c:v>
                </c:pt>
                <c:pt idx="6">
                  <c:v>Malletts Bay</c:v>
                </c:pt>
                <c:pt idx="7">
                  <c:v> </c:v>
                </c:pt>
                <c:pt idx="8">
                  <c:v>Northeast Arm</c:v>
                </c:pt>
                <c:pt idx="9">
                  <c:v> </c:v>
                </c:pt>
                <c:pt idx="10">
                  <c:v>St. Albans Bay</c:v>
                </c:pt>
                <c:pt idx="11">
                  <c:v> </c:v>
                </c:pt>
                <c:pt idx="12">
                  <c:v>Missisquoi Bay</c:v>
                </c:pt>
                <c:pt idx="13">
                  <c:v> </c:v>
                </c:pt>
              </c:strCache>
            </c:strRef>
          </c:cat>
          <c:val>
            <c:numRef>
              <c:f>Charts!$C$3:$C$16</c:f>
              <c:numCache>
                <c:formatCode>General</c:formatCode>
                <c:ptCount val="14"/>
                <c:pt idx="0" formatCode="0.0">
                  <c:v>0</c:v>
                </c:pt>
                <c:pt idx="2" formatCode="0.0">
                  <c:v>0</c:v>
                </c:pt>
                <c:pt idx="4" formatCode="0.0">
                  <c:v>0</c:v>
                </c:pt>
                <c:pt idx="6" formatCode="0.0">
                  <c:v>0</c:v>
                </c:pt>
                <c:pt idx="8" formatCode="0.0">
                  <c:v>0</c:v>
                </c:pt>
                <c:pt idx="10" formatCode="0.0">
                  <c:v>0</c:v>
                </c:pt>
                <c:pt idx="12" formatCode="0.0">
                  <c:v>0</c:v>
                </c:pt>
              </c:numCache>
            </c:numRef>
          </c:val>
          <c:extLst>
            <c:ext xmlns:c16="http://schemas.microsoft.com/office/drawing/2014/chart" uri="{C3380CC4-5D6E-409C-BE32-E72D297353CC}">
              <c16:uniqueId val="{00000010-8550-4210-902C-03DAE7F8B66B}"/>
            </c:ext>
          </c:extLst>
        </c:ser>
        <c:dLbls>
          <c:showLegendKey val="0"/>
          <c:showVal val="0"/>
          <c:showCatName val="0"/>
          <c:showSerName val="0"/>
          <c:showPercent val="0"/>
          <c:showBubbleSize val="0"/>
        </c:dLbls>
        <c:gapWidth val="40"/>
        <c:overlap val="100"/>
        <c:axId val="848052352"/>
        <c:axId val="848052680"/>
      </c:barChart>
      <c:catAx>
        <c:axId val="84805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48052680"/>
        <c:crosses val="autoZero"/>
        <c:auto val="1"/>
        <c:lblAlgn val="ctr"/>
        <c:lblOffset val="100"/>
        <c:noMultiLvlLbl val="0"/>
      </c:catAx>
      <c:valAx>
        <c:axId val="848052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Phosphorus Load (kg/yr)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5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Charts!$I$2</c:f>
              <c:strCache>
                <c:ptCount val="1"/>
                <c:pt idx="0">
                  <c:v>Planned STP Impervious Area Managed </c:v>
                </c:pt>
              </c:strCache>
            </c:strRef>
          </c:tx>
          <c:spPr>
            <a:solidFill>
              <a:schemeClr val="accent6"/>
            </a:solidFill>
            <a:ln>
              <a:noFill/>
            </a:ln>
            <a:effectLst/>
          </c:spPr>
          <c:invertIfNegative val="0"/>
          <c:dLbls>
            <c:dLbl>
              <c:idx val="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8F7-4B08-B569-F6B0767FA8A5}"/>
                </c:ext>
              </c:extLst>
            </c:dLbl>
            <c:dLbl>
              <c:idx val="1"/>
              <c:tx>
                <c:rich>
                  <a:bodyPr/>
                  <a:lstStyle/>
                  <a:p>
                    <a:fld id="{65A4E65E-CB00-4F45-ADC8-3C81C74A73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8F7-4B08-B569-F6B0767FA8A5}"/>
                </c:ext>
              </c:extLst>
            </c:dLbl>
            <c:dLbl>
              <c:idx val="2"/>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F7-4B08-B569-F6B0767FA8A5}"/>
                </c:ext>
              </c:extLst>
            </c:dLbl>
            <c:dLbl>
              <c:idx val="3"/>
              <c:tx>
                <c:rich>
                  <a:bodyPr/>
                  <a:lstStyle/>
                  <a:p>
                    <a:fld id="{BFDD74A4-C688-4347-8F22-AF828F9B82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8F7-4B08-B569-F6B0767FA8A5}"/>
                </c:ext>
              </c:extLst>
            </c:dLbl>
            <c:dLbl>
              <c:idx val="4"/>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8F7-4B08-B569-F6B0767FA8A5}"/>
                </c:ext>
              </c:extLst>
            </c:dLbl>
            <c:dLbl>
              <c:idx val="5"/>
              <c:layout>
                <c:manualLayout>
                  <c:x val="0"/>
                  <c:y val="-3.4230802611160155E-2"/>
                </c:manualLayout>
              </c:layout>
              <c:tx>
                <c:rich>
                  <a:bodyPr/>
                  <a:lstStyle/>
                  <a:p>
                    <a:fld id="{8C69B04F-78DD-4D27-BF78-8F6BE30D53E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8F7-4B08-B569-F6B0767FA8A5}"/>
                </c:ext>
              </c:extLst>
            </c:dLbl>
            <c:dLbl>
              <c:idx val="6"/>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8F7-4B08-B569-F6B0767FA8A5}"/>
                </c:ext>
              </c:extLst>
            </c:dLbl>
            <c:dLbl>
              <c:idx val="7"/>
              <c:tx>
                <c:rich>
                  <a:bodyPr/>
                  <a:lstStyle/>
                  <a:p>
                    <a:fld id="{9B24D511-BF32-44EF-9459-15AAB6E88C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8F7-4B08-B569-F6B0767FA8A5}"/>
                </c:ext>
              </c:extLst>
            </c:dLbl>
            <c:dLbl>
              <c:idx val="8"/>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8F7-4B08-B569-F6B0767FA8A5}"/>
                </c:ext>
              </c:extLst>
            </c:dLbl>
            <c:dLbl>
              <c:idx val="9"/>
              <c:tx>
                <c:rich>
                  <a:bodyPr/>
                  <a:lstStyle/>
                  <a:p>
                    <a:fld id="{21EFA284-DC9C-469B-94B3-34931151DF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8F7-4B08-B569-F6B0767FA8A5}"/>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8F7-4B08-B569-F6B0767FA8A5}"/>
                </c:ext>
              </c:extLst>
            </c:dLbl>
            <c:dLbl>
              <c:idx val="11"/>
              <c:tx>
                <c:rich>
                  <a:bodyPr/>
                  <a:lstStyle/>
                  <a:p>
                    <a:fld id="{C395CB40-393E-40CE-BD7E-0CD888F2B5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8F7-4B08-B569-F6B0767FA8A5}"/>
                </c:ext>
              </c:extLst>
            </c:dLbl>
            <c:dLbl>
              <c:idx val="12"/>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8F7-4B08-B569-F6B0767FA8A5}"/>
                </c:ext>
              </c:extLst>
            </c:dLbl>
            <c:dLbl>
              <c:idx val="13"/>
              <c:tx>
                <c:rich>
                  <a:bodyPr/>
                  <a:lstStyle/>
                  <a:p>
                    <a:fld id="{5328A2B5-DF38-46C7-B2B5-17D7D6785B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8F7-4B08-B569-F6B0767FA8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Charts!$H$3:$H$16</c:f>
              <c:strCache>
                <c:ptCount val="14"/>
                <c:pt idx="0">
                  <c:v>Otter Creek</c:v>
                </c:pt>
                <c:pt idx="1">
                  <c:v>Otter Creek</c:v>
                </c:pt>
                <c:pt idx="2">
                  <c:v>Main Lake</c:v>
                </c:pt>
                <c:pt idx="3">
                  <c:v>Main Lake</c:v>
                </c:pt>
                <c:pt idx="4">
                  <c:v>Shelburne Bay</c:v>
                </c:pt>
                <c:pt idx="5">
                  <c:v>Shelburne Bay</c:v>
                </c:pt>
                <c:pt idx="6">
                  <c:v>Malletts Bay</c:v>
                </c:pt>
                <c:pt idx="7">
                  <c:v>Malletts Bay</c:v>
                </c:pt>
                <c:pt idx="8">
                  <c:v>Northeast Arm</c:v>
                </c:pt>
                <c:pt idx="9">
                  <c:v>Northeast Arm</c:v>
                </c:pt>
                <c:pt idx="10">
                  <c:v>St. Albans Bay</c:v>
                </c:pt>
                <c:pt idx="11">
                  <c:v>St. Albans Bay</c:v>
                </c:pt>
                <c:pt idx="12">
                  <c:v>Missisquoi Bay</c:v>
                </c:pt>
                <c:pt idx="13">
                  <c:v>Missisquoi Bay</c:v>
                </c:pt>
              </c:strCache>
            </c:strRef>
          </c:cat>
          <c:val>
            <c:numRef>
              <c:f>Charts!$I$3:$I$16</c:f>
              <c:numCache>
                <c:formatCode>0.0</c:formatCode>
                <c:ptCount val="14"/>
                <c:pt idx="1">
                  <c:v>29.155163000000002</c:v>
                </c:pt>
                <c:pt idx="3">
                  <c:v>25.419322999999995</c:v>
                </c:pt>
                <c:pt idx="5">
                  <c:v>65.950969999999984</c:v>
                </c:pt>
                <c:pt idx="7">
                  <c:v>6.0794319999999997</c:v>
                </c:pt>
                <c:pt idx="9">
                  <c:v>0.53</c:v>
                </c:pt>
                <c:pt idx="11">
                  <c:v>7.162782</c:v>
                </c:pt>
                <c:pt idx="13">
                  <c:v>13.61</c:v>
                </c:pt>
              </c:numCache>
            </c:numRef>
          </c:val>
          <c:extLst>
            <c:ext xmlns:c15="http://schemas.microsoft.com/office/drawing/2012/chart" uri="{02D57815-91ED-43cb-92C2-25804820EDAC}">
              <c15:datalabelsRange>
                <c15:f>Charts!$L$3:$L$16</c15:f>
                <c15:dlblRangeCache>
                  <c:ptCount val="14"/>
                  <c:pt idx="1">
                    <c:v>2%</c:v>
                  </c:pt>
                  <c:pt idx="3">
                    <c:v>2%</c:v>
                  </c:pt>
                  <c:pt idx="5">
                    <c:v>40%</c:v>
                  </c:pt>
                  <c:pt idx="7">
                    <c:v>1%</c:v>
                  </c:pt>
                  <c:pt idx="9">
                    <c:v>0.3%</c:v>
                  </c:pt>
                  <c:pt idx="11">
                    <c:v>4%</c:v>
                  </c:pt>
                  <c:pt idx="13">
                    <c:v>1%</c:v>
                  </c:pt>
                </c15:dlblRangeCache>
              </c15:datalabelsRange>
            </c:ext>
            <c:ext xmlns:c16="http://schemas.microsoft.com/office/drawing/2014/chart" uri="{C3380CC4-5D6E-409C-BE32-E72D297353CC}">
              <c16:uniqueId val="{0000000E-28F7-4B08-B569-F6B0767FA8A5}"/>
            </c:ext>
          </c:extLst>
        </c:ser>
        <c:ser>
          <c:idx val="2"/>
          <c:order val="1"/>
          <c:tx>
            <c:strRef>
              <c:f>Charts!$J$2</c:f>
              <c:strCache>
                <c:ptCount val="1"/>
                <c:pt idx="0">
                  <c:v>Completed STP Impervious Area Managed </c:v>
                </c:pt>
              </c:strCache>
            </c:strRef>
          </c:tx>
          <c:spPr>
            <a:solidFill>
              <a:schemeClr val="accent5"/>
            </a:solidFill>
            <a:ln>
              <a:noFill/>
            </a:ln>
            <a:effectLst/>
          </c:spPr>
          <c:invertIfNegative val="0"/>
          <c:dPt>
            <c:idx val="0"/>
            <c:invertIfNegative val="0"/>
            <c:bubble3D val="0"/>
            <c:extLst>
              <c:ext xmlns:c16="http://schemas.microsoft.com/office/drawing/2014/chart" uri="{C3380CC4-5D6E-409C-BE32-E72D297353CC}">
                <c16:uniqueId val="{0000000F-28F7-4B08-B569-F6B0767FA8A5}"/>
              </c:ext>
            </c:extLst>
          </c:dPt>
          <c:cat>
            <c:strRef>
              <c:f>Charts!$H$3:$H$16</c:f>
              <c:strCache>
                <c:ptCount val="14"/>
                <c:pt idx="0">
                  <c:v>Otter Creek</c:v>
                </c:pt>
                <c:pt idx="1">
                  <c:v>Otter Creek</c:v>
                </c:pt>
                <c:pt idx="2">
                  <c:v>Main Lake</c:v>
                </c:pt>
                <c:pt idx="3">
                  <c:v>Main Lake</c:v>
                </c:pt>
                <c:pt idx="4">
                  <c:v>Shelburne Bay</c:v>
                </c:pt>
                <c:pt idx="5">
                  <c:v>Shelburne Bay</c:v>
                </c:pt>
                <c:pt idx="6">
                  <c:v>Malletts Bay</c:v>
                </c:pt>
                <c:pt idx="7">
                  <c:v>Malletts Bay</c:v>
                </c:pt>
                <c:pt idx="8">
                  <c:v>Northeast Arm</c:v>
                </c:pt>
                <c:pt idx="9">
                  <c:v>Northeast Arm</c:v>
                </c:pt>
                <c:pt idx="10">
                  <c:v>St. Albans Bay</c:v>
                </c:pt>
                <c:pt idx="11">
                  <c:v>St. Albans Bay</c:v>
                </c:pt>
                <c:pt idx="12">
                  <c:v>Missisquoi Bay</c:v>
                </c:pt>
                <c:pt idx="13">
                  <c:v>Missisquoi Bay</c:v>
                </c:pt>
              </c:strCache>
            </c:strRef>
          </c:cat>
          <c:val>
            <c:numRef>
              <c:f>Charts!$J$3:$J$16</c:f>
              <c:numCache>
                <c:formatCode>0.0</c:formatCode>
                <c:ptCount val="14"/>
                <c:pt idx="1">
                  <c:v>0</c:v>
                </c:pt>
                <c:pt idx="3">
                  <c:v>0</c:v>
                </c:pt>
                <c:pt idx="5">
                  <c:v>0</c:v>
                </c:pt>
                <c:pt idx="7">
                  <c:v>0</c:v>
                </c:pt>
                <c:pt idx="9">
                  <c:v>0</c:v>
                </c:pt>
                <c:pt idx="11">
                  <c:v>0</c:v>
                </c:pt>
                <c:pt idx="13">
                  <c:v>0</c:v>
                </c:pt>
              </c:numCache>
            </c:numRef>
          </c:val>
          <c:extLst>
            <c:ext xmlns:c16="http://schemas.microsoft.com/office/drawing/2014/chart" uri="{C3380CC4-5D6E-409C-BE32-E72D297353CC}">
              <c16:uniqueId val="{00000010-28F7-4B08-B569-F6B0767FA8A5}"/>
            </c:ext>
          </c:extLst>
        </c:ser>
        <c:ser>
          <c:idx val="4"/>
          <c:order val="2"/>
          <c:tx>
            <c:strRef>
              <c:f>Charts!$K$2</c:f>
              <c:strCache>
                <c:ptCount val="1"/>
                <c:pt idx="0">
                  <c:v>Total Paved Roads Area (Linear Facilities) </c:v>
                </c:pt>
              </c:strCache>
            </c:strRef>
          </c:tx>
          <c:spPr>
            <a:solidFill>
              <a:schemeClr val="accent4"/>
            </a:solidFill>
            <a:ln>
              <a:noFill/>
            </a:ln>
            <a:effectLst/>
          </c:spPr>
          <c:invertIfNegative val="0"/>
          <c:cat>
            <c:strRef>
              <c:f>Charts!$H$3:$H$16</c:f>
              <c:strCache>
                <c:ptCount val="14"/>
                <c:pt idx="0">
                  <c:v>Otter Creek</c:v>
                </c:pt>
                <c:pt idx="1">
                  <c:v>Otter Creek</c:v>
                </c:pt>
                <c:pt idx="2">
                  <c:v>Main Lake</c:v>
                </c:pt>
                <c:pt idx="3">
                  <c:v>Main Lake</c:v>
                </c:pt>
                <c:pt idx="4">
                  <c:v>Shelburne Bay</c:v>
                </c:pt>
                <c:pt idx="5">
                  <c:v>Shelburne Bay</c:v>
                </c:pt>
                <c:pt idx="6">
                  <c:v>Malletts Bay</c:v>
                </c:pt>
                <c:pt idx="7">
                  <c:v>Malletts Bay</c:v>
                </c:pt>
                <c:pt idx="8">
                  <c:v>Northeast Arm</c:v>
                </c:pt>
                <c:pt idx="9">
                  <c:v>Northeast Arm</c:v>
                </c:pt>
                <c:pt idx="10">
                  <c:v>St. Albans Bay</c:v>
                </c:pt>
                <c:pt idx="11">
                  <c:v>St. Albans Bay</c:v>
                </c:pt>
                <c:pt idx="12">
                  <c:v>Missisquoi Bay</c:v>
                </c:pt>
                <c:pt idx="13">
                  <c:v>Missisquoi Bay</c:v>
                </c:pt>
              </c:strCache>
            </c:strRef>
          </c:cat>
          <c:val>
            <c:numRef>
              <c:f>Charts!$K$3:$K$16</c:f>
              <c:numCache>
                <c:formatCode>0.0</c:formatCode>
                <c:ptCount val="14"/>
                <c:pt idx="0">
                  <c:v>1181.1980345162299</c:v>
                </c:pt>
                <c:pt idx="2">
                  <c:v>1645.1201742234027</c:v>
                </c:pt>
                <c:pt idx="4">
                  <c:v>163.66476963274638</c:v>
                </c:pt>
                <c:pt idx="6">
                  <c:v>1013.4566236318417</c:v>
                </c:pt>
                <c:pt idx="8">
                  <c:v>159.51357129945922</c:v>
                </c:pt>
                <c:pt idx="10">
                  <c:v>187.19753473913744</c:v>
                </c:pt>
                <c:pt idx="12">
                  <c:v>910.13626032166462</c:v>
                </c:pt>
              </c:numCache>
            </c:numRef>
          </c:val>
          <c:extLst>
            <c:ext xmlns:c16="http://schemas.microsoft.com/office/drawing/2014/chart" uri="{C3380CC4-5D6E-409C-BE32-E72D297353CC}">
              <c16:uniqueId val="{00000011-28F7-4B08-B569-F6B0767FA8A5}"/>
            </c:ext>
          </c:extLst>
        </c:ser>
        <c:dLbls>
          <c:showLegendKey val="0"/>
          <c:showVal val="0"/>
          <c:showCatName val="0"/>
          <c:showSerName val="0"/>
          <c:showPercent val="0"/>
          <c:showBubbleSize val="0"/>
        </c:dLbls>
        <c:gapWidth val="40"/>
        <c:overlap val="100"/>
        <c:axId val="1142138592"/>
        <c:axId val="1142140560"/>
      </c:barChart>
      <c:catAx>
        <c:axId val="114213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1142140560"/>
        <c:crosses val="autoZero"/>
        <c:auto val="1"/>
        <c:lblAlgn val="ctr"/>
        <c:lblOffset val="100"/>
        <c:tickLblSkip val="1"/>
        <c:noMultiLvlLbl val="0"/>
      </c:catAx>
      <c:valAx>
        <c:axId val="1142140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Area (acres)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138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1724025</xdr:colOff>
      <xdr:row>6</xdr:row>
      <xdr:rowOff>609600</xdr:rowOff>
    </xdr:from>
    <xdr:to>
      <xdr:col>0</xdr:col>
      <xdr:colOff>3368675</xdr:colOff>
      <xdr:row>9</xdr:row>
      <xdr:rowOff>53975</xdr:rowOff>
    </xdr:to>
    <xdr:pic>
      <xdr:nvPicPr>
        <xdr:cNvPr id="2" name="Picture 1">
          <a:extLst>
            <a:ext uri="{FF2B5EF4-FFF2-40B4-BE49-F238E27FC236}">
              <a16:creationId xmlns:a16="http://schemas.microsoft.com/office/drawing/2014/main" id="{D8CFBC4E-5141-4586-9E31-FE7BB250938B}"/>
            </a:ext>
          </a:extLst>
        </xdr:cNvPr>
        <xdr:cNvPicPr/>
      </xdr:nvPicPr>
      <xdr:blipFill rotWithShape="1">
        <a:blip xmlns:r="http://schemas.openxmlformats.org/officeDocument/2006/relationships" r:embed="rId1"/>
        <a:srcRect r="27731"/>
        <a:stretch/>
      </xdr:blipFill>
      <xdr:spPr bwMode="auto">
        <a:xfrm>
          <a:off x="1725930" y="2352675"/>
          <a:ext cx="1646555" cy="45783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xdr:colOff>
      <xdr:row>25</xdr:row>
      <xdr:rowOff>0</xdr:rowOff>
    </xdr:from>
    <xdr:to>
      <xdr:col>1</xdr:col>
      <xdr:colOff>68281</xdr:colOff>
      <xdr:row>36</xdr:row>
      <xdr:rowOff>168275</xdr:rowOff>
    </xdr:to>
    <xdr:grpSp>
      <xdr:nvGrpSpPr>
        <xdr:cNvPr id="3" name="Canvas 5">
          <a:extLst>
            <a:ext uri="{FF2B5EF4-FFF2-40B4-BE49-F238E27FC236}">
              <a16:creationId xmlns:a16="http://schemas.microsoft.com/office/drawing/2014/main" id="{0E37FE18-051C-4DFF-906D-E96CAE83E29F}"/>
            </a:ext>
          </a:extLst>
        </xdr:cNvPr>
        <xdr:cNvGrpSpPr/>
      </xdr:nvGrpSpPr>
      <xdr:grpSpPr>
        <a:xfrm>
          <a:off x="1" y="7879080"/>
          <a:ext cx="7101540" cy="2179955"/>
          <a:chOff x="0" y="0"/>
          <a:chExt cx="5928256" cy="2259965"/>
        </a:xfrm>
      </xdr:grpSpPr>
      <xdr:sp macro="" textlink="">
        <xdr:nvSpPr>
          <xdr:cNvPr id="4" name="Rectangle 3">
            <a:extLst>
              <a:ext uri="{FF2B5EF4-FFF2-40B4-BE49-F238E27FC236}">
                <a16:creationId xmlns:a16="http://schemas.microsoft.com/office/drawing/2014/main" id="{A600B7EC-4CE6-4107-96C6-BE4091A07F6A}"/>
              </a:ext>
            </a:extLst>
          </xdr:cNvPr>
          <xdr:cNvSpPr/>
        </xdr:nvSpPr>
        <xdr:spPr>
          <a:xfrm>
            <a:off x="0" y="0"/>
            <a:ext cx="5868035" cy="2259965"/>
          </a:xfrm>
          <a:prstGeom prst="rect">
            <a:avLst/>
          </a:prstGeom>
          <a:solidFill>
            <a:prstClr val="white"/>
          </a:solidFill>
        </xdr:spPr>
      </xdr:sp>
      <xdr:grpSp>
        <xdr:nvGrpSpPr>
          <xdr:cNvPr id="5" name="Group 4">
            <a:extLst>
              <a:ext uri="{FF2B5EF4-FFF2-40B4-BE49-F238E27FC236}">
                <a16:creationId xmlns:a16="http://schemas.microsoft.com/office/drawing/2014/main" id="{2F4DC6A1-BFC8-419B-A377-E09DE962104B}"/>
              </a:ext>
            </a:extLst>
          </xdr:cNvPr>
          <xdr:cNvGrpSpPr/>
        </xdr:nvGrpSpPr>
        <xdr:grpSpPr>
          <a:xfrm>
            <a:off x="109181" y="28557"/>
            <a:ext cx="5819075" cy="2073109"/>
            <a:chOff x="109181" y="28557"/>
            <a:chExt cx="5819075" cy="2073109"/>
          </a:xfrm>
        </xdr:grpSpPr>
        <xdr:sp macro="" textlink="">
          <xdr:nvSpPr>
            <xdr:cNvPr id="6" name="Trapezoid 5">
              <a:extLst>
                <a:ext uri="{FF2B5EF4-FFF2-40B4-BE49-F238E27FC236}">
                  <a16:creationId xmlns:a16="http://schemas.microsoft.com/office/drawing/2014/main" id="{ED26CB2A-1229-4615-AE4E-2BAC669564C6}"/>
                </a:ext>
              </a:extLst>
            </xdr:cNvPr>
            <xdr:cNvSpPr/>
          </xdr:nvSpPr>
          <xdr:spPr>
            <a:xfrm rot="10800000">
              <a:off x="818864" y="422747"/>
              <a:ext cx="4305865" cy="1678674"/>
            </a:xfrm>
            <a:prstGeom prst="trapezoid">
              <a:avLst>
                <a:gd name="adj" fmla="val 47127"/>
              </a:avLst>
            </a:prstGeom>
            <a:ln>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Trapezoid 6">
              <a:extLst>
                <a:ext uri="{FF2B5EF4-FFF2-40B4-BE49-F238E27FC236}">
                  <a16:creationId xmlns:a16="http://schemas.microsoft.com/office/drawing/2014/main" id="{8960FD84-B070-401B-8277-F94E4C541C9A}"/>
                </a:ext>
              </a:extLst>
            </xdr:cNvPr>
            <xdr:cNvSpPr/>
          </xdr:nvSpPr>
          <xdr:spPr>
            <a:xfrm rot="10800000">
              <a:off x="1192959" y="1319839"/>
              <a:ext cx="3466106" cy="771097"/>
            </a:xfrm>
            <a:prstGeom prst="trapezoid">
              <a:avLst>
                <a:gd name="adj" fmla="val 48041"/>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Trapezoid 7">
              <a:extLst>
                <a:ext uri="{FF2B5EF4-FFF2-40B4-BE49-F238E27FC236}">
                  <a16:creationId xmlns:a16="http://schemas.microsoft.com/office/drawing/2014/main" id="{D5B3E1D0-AB65-4675-8201-A53E45F6D6F6}"/>
                </a:ext>
              </a:extLst>
            </xdr:cNvPr>
            <xdr:cNvSpPr/>
          </xdr:nvSpPr>
          <xdr:spPr>
            <a:xfrm rot="10800000">
              <a:off x="976892" y="832032"/>
              <a:ext cx="3936243" cy="498138"/>
            </a:xfrm>
            <a:prstGeom prst="trapezoid">
              <a:avLst>
                <a:gd name="adj" fmla="val 4871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a:extLst>
                <a:ext uri="{FF2B5EF4-FFF2-40B4-BE49-F238E27FC236}">
                  <a16:creationId xmlns:a16="http://schemas.microsoft.com/office/drawing/2014/main" id="{4CA6E0BC-8F41-4ACF-8384-E0718A4EF6AA}"/>
                </a:ext>
              </a:extLst>
            </xdr:cNvPr>
            <xdr:cNvSpPr/>
          </xdr:nvSpPr>
          <xdr:spPr>
            <a:xfrm>
              <a:off x="4349655" y="586764"/>
              <a:ext cx="574770" cy="1514902"/>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Oval 9">
              <a:extLst>
                <a:ext uri="{FF2B5EF4-FFF2-40B4-BE49-F238E27FC236}">
                  <a16:creationId xmlns:a16="http://schemas.microsoft.com/office/drawing/2014/main" id="{7437F454-CE63-4991-BB94-6D3F37018F65}"/>
                </a:ext>
              </a:extLst>
            </xdr:cNvPr>
            <xdr:cNvSpPr/>
          </xdr:nvSpPr>
          <xdr:spPr>
            <a:xfrm>
              <a:off x="4353418" y="1262415"/>
              <a:ext cx="98946" cy="88708"/>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 name="Rectangle 10">
              <a:extLst>
                <a:ext uri="{FF2B5EF4-FFF2-40B4-BE49-F238E27FC236}">
                  <a16:creationId xmlns:a16="http://schemas.microsoft.com/office/drawing/2014/main" id="{0F323AF4-FF0C-4166-B235-500AA80B5C41}"/>
                </a:ext>
              </a:extLst>
            </xdr:cNvPr>
            <xdr:cNvSpPr/>
          </xdr:nvSpPr>
          <xdr:spPr>
            <a:xfrm>
              <a:off x="4353844" y="716518"/>
              <a:ext cx="307075" cy="11599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2" name="Text Box 12">
              <a:extLst>
                <a:ext uri="{FF2B5EF4-FFF2-40B4-BE49-F238E27FC236}">
                  <a16:creationId xmlns:a16="http://schemas.microsoft.com/office/drawing/2014/main" id="{58647672-82CC-47B3-86EA-615699C2058F}"/>
                </a:ext>
              </a:extLst>
            </xdr:cNvPr>
            <xdr:cNvSpPr txBox="1"/>
          </xdr:nvSpPr>
          <xdr:spPr>
            <a:xfrm>
              <a:off x="2135874" y="1501254"/>
              <a:ext cx="1535373" cy="32754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Permanent Pool </a:t>
              </a:r>
            </a:p>
          </xdr:txBody>
        </xdr:sp>
        <xdr:sp macro="" textlink="">
          <xdr:nvSpPr>
            <xdr:cNvPr id="13" name="Text Box 12">
              <a:extLst>
                <a:ext uri="{FF2B5EF4-FFF2-40B4-BE49-F238E27FC236}">
                  <a16:creationId xmlns:a16="http://schemas.microsoft.com/office/drawing/2014/main" id="{1243F591-4E75-4479-A823-2F63A978BCE9}"/>
                </a:ext>
              </a:extLst>
            </xdr:cNvPr>
            <xdr:cNvSpPr txBox="1"/>
          </xdr:nvSpPr>
          <xdr:spPr>
            <a:xfrm>
              <a:off x="1350017" y="841885"/>
              <a:ext cx="2975211" cy="44354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06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Extended Detention 12-24 hours, typically controlled by a small orifice</a:t>
              </a:r>
            </a:p>
          </xdr:txBody>
        </xdr:sp>
        <xdr:sp macro="" textlink="">
          <xdr:nvSpPr>
            <xdr:cNvPr id="14" name="Text Box 14">
              <a:extLst>
                <a:ext uri="{FF2B5EF4-FFF2-40B4-BE49-F238E27FC236}">
                  <a16:creationId xmlns:a16="http://schemas.microsoft.com/office/drawing/2014/main" id="{D3B8494B-CBD0-4B1B-8E50-33672E2F5E19}"/>
                </a:ext>
              </a:extLst>
            </xdr:cNvPr>
            <xdr:cNvSpPr txBox="1"/>
          </xdr:nvSpPr>
          <xdr:spPr>
            <a:xfrm>
              <a:off x="1187353" y="470757"/>
              <a:ext cx="3060797" cy="307074"/>
            </a:xfrm>
            <a:prstGeom prst="rect">
              <a:avLst/>
            </a:prstGeom>
            <a:solidFill>
              <a:schemeClr val="bg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Flood Storage – Typically short detention times.</a:t>
              </a:r>
            </a:p>
          </xdr:txBody>
        </xdr:sp>
        <xdr:sp macro="" textlink="">
          <xdr:nvSpPr>
            <xdr:cNvPr id="15" name="Left Brace 14">
              <a:extLst>
                <a:ext uri="{FF2B5EF4-FFF2-40B4-BE49-F238E27FC236}">
                  <a16:creationId xmlns:a16="http://schemas.microsoft.com/office/drawing/2014/main" id="{6739C7AB-69AE-4BC2-820B-F038C12956A8}"/>
                </a:ext>
              </a:extLst>
            </xdr:cNvPr>
            <xdr:cNvSpPr/>
          </xdr:nvSpPr>
          <xdr:spPr>
            <a:xfrm>
              <a:off x="818865" y="832195"/>
              <a:ext cx="307075" cy="1268117"/>
            </a:xfrm>
            <a:prstGeom prst="leftBrace">
              <a:avLst>
                <a:gd name="adj1" fmla="val 40492"/>
                <a:gd name="adj2" fmla="val 50000"/>
              </a:avLst>
            </a:prstGeom>
            <a:ln w="19050"/>
          </xdr:spPr>
          <xdr:style>
            <a:lnRef idx="2">
              <a:schemeClr val="accent2"/>
            </a:lnRef>
            <a:fillRef idx="0">
              <a:schemeClr val="accent2"/>
            </a:fillRef>
            <a:effectRef idx="1">
              <a:schemeClr val="accent2"/>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 name="Text Box 18">
              <a:extLst>
                <a:ext uri="{FF2B5EF4-FFF2-40B4-BE49-F238E27FC236}">
                  <a16:creationId xmlns:a16="http://schemas.microsoft.com/office/drawing/2014/main" id="{072E779F-E871-49C2-8C91-4A6AF1A08445}"/>
                </a:ext>
              </a:extLst>
            </xdr:cNvPr>
            <xdr:cNvSpPr txBox="1"/>
          </xdr:nvSpPr>
          <xdr:spPr>
            <a:xfrm>
              <a:off x="109181" y="948519"/>
              <a:ext cx="771099" cy="1090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Storage Volume for Credit</a:t>
              </a:r>
            </a:p>
            <a:p>
              <a:pPr marL="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Calcs</a:t>
              </a:r>
            </a:p>
          </xdr:txBody>
        </xdr:sp>
        <xdr:sp macro="" textlink="">
          <xdr:nvSpPr>
            <xdr:cNvPr id="17" name="Text Box 19">
              <a:extLst>
                <a:ext uri="{FF2B5EF4-FFF2-40B4-BE49-F238E27FC236}">
                  <a16:creationId xmlns:a16="http://schemas.microsoft.com/office/drawing/2014/main" id="{339532C6-C771-4F34-8412-4C8A0711925B}"/>
                </a:ext>
              </a:extLst>
            </xdr:cNvPr>
            <xdr:cNvSpPr txBox="1"/>
          </xdr:nvSpPr>
          <xdr:spPr>
            <a:xfrm>
              <a:off x="4762567" y="28557"/>
              <a:ext cx="885758" cy="27624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Outlet Riser</a:t>
              </a:r>
            </a:p>
          </xdr:txBody>
        </xdr:sp>
        <xdr:cxnSp macro="">
          <xdr:nvCxnSpPr>
            <xdr:cNvPr id="18" name="Connector: Curved 21">
              <a:extLst>
                <a:ext uri="{FF2B5EF4-FFF2-40B4-BE49-F238E27FC236}">
                  <a16:creationId xmlns:a16="http://schemas.microsoft.com/office/drawing/2014/main" id="{4E41F549-61B8-4CA9-848E-24D51084E0E1}"/>
                </a:ext>
              </a:extLst>
            </xdr:cNvPr>
            <xdr:cNvCxnSpPr>
              <a:stCxn id="17" idx="2"/>
              <a:endCxn id="9" idx="0"/>
            </xdr:cNvCxnSpPr>
          </xdr:nvCxnSpPr>
          <xdr:spPr>
            <a:xfrm flipH="1">
              <a:off x="4637040" y="304800"/>
              <a:ext cx="568406" cy="28196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9" name="Text Box 19">
              <a:extLst>
                <a:ext uri="{FF2B5EF4-FFF2-40B4-BE49-F238E27FC236}">
                  <a16:creationId xmlns:a16="http://schemas.microsoft.com/office/drawing/2014/main" id="{D045D4E9-7D7B-476B-90B4-D8D79BA2414A}"/>
                </a:ext>
              </a:extLst>
            </xdr:cNvPr>
            <xdr:cNvSpPr txBox="1"/>
          </xdr:nvSpPr>
          <xdr:spPr>
            <a:xfrm>
              <a:off x="4959880" y="577255"/>
              <a:ext cx="968376" cy="41306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6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Overflow for large storms</a:t>
              </a:r>
            </a:p>
          </xdr:txBody>
        </xdr:sp>
        <xdr:sp macro="" textlink="">
          <xdr:nvSpPr>
            <xdr:cNvPr id="20" name="Text Box 19">
              <a:extLst>
                <a:ext uri="{FF2B5EF4-FFF2-40B4-BE49-F238E27FC236}">
                  <a16:creationId xmlns:a16="http://schemas.microsoft.com/office/drawing/2014/main" id="{F8F2B7AA-BB79-4977-A75A-DA1C40BB1D31}"/>
                </a:ext>
              </a:extLst>
            </xdr:cNvPr>
            <xdr:cNvSpPr txBox="1"/>
          </xdr:nvSpPr>
          <xdr:spPr>
            <a:xfrm>
              <a:off x="4935362" y="1009650"/>
              <a:ext cx="968376" cy="69143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5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Small outlet for extended detention</a:t>
              </a:r>
            </a:p>
          </xdr:txBody>
        </xdr:sp>
        <xdr:cxnSp macro="">
          <xdr:nvCxnSpPr>
            <xdr:cNvPr id="21" name="Straight Arrow Connector 20">
              <a:extLst>
                <a:ext uri="{FF2B5EF4-FFF2-40B4-BE49-F238E27FC236}">
                  <a16:creationId xmlns:a16="http://schemas.microsoft.com/office/drawing/2014/main" id="{06E693E5-2DD1-4C76-A365-15824C670CAD}"/>
                </a:ext>
              </a:extLst>
            </xdr:cNvPr>
            <xdr:cNvCxnSpPr>
              <a:stCxn id="19" idx="1"/>
              <a:endCxn id="11" idx="3"/>
            </xdr:cNvCxnSpPr>
          </xdr:nvCxnSpPr>
          <xdr:spPr>
            <a:xfrm flipH="1" flipV="1">
              <a:off x="4660919" y="774518"/>
              <a:ext cx="298961" cy="927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22" name="Straight Arrow Connector 21">
              <a:extLst>
                <a:ext uri="{FF2B5EF4-FFF2-40B4-BE49-F238E27FC236}">
                  <a16:creationId xmlns:a16="http://schemas.microsoft.com/office/drawing/2014/main" id="{CF7B5FBE-73CB-4CBC-8E29-FC37863DFDEC}"/>
                </a:ext>
              </a:extLst>
            </xdr:cNvPr>
            <xdr:cNvCxnSpPr>
              <a:stCxn id="20" idx="1"/>
              <a:endCxn id="10" idx="5"/>
            </xdr:cNvCxnSpPr>
          </xdr:nvCxnSpPr>
          <xdr:spPr>
            <a:xfrm flipH="1" flipV="1">
              <a:off x="4437873" y="1338132"/>
              <a:ext cx="497488" cy="172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grpSp>
    <xdr:clientData/>
  </xdr:twoCellAnchor>
  <xdr:twoCellAnchor>
    <xdr:from>
      <xdr:col>0</xdr:col>
      <xdr:colOff>1</xdr:colOff>
      <xdr:row>42</xdr:row>
      <xdr:rowOff>0</xdr:rowOff>
    </xdr:from>
    <xdr:to>
      <xdr:col>0</xdr:col>
      <xdr:colOff>6438900</xdr:colOff>
      <xdr:row>56</xdr:row>
      <xdr:rowOff>98425</xdr:rowOff>
    </xdr:to>
    <xdr:grpSp>
      <xdr:nvGrpSpPr>
        <xdr:cNvPr id="23" name="Group 22">
          <a:extLst>
            <a:ext uri="{FF2B5EF4-FFF2-40B4-BE49-F238E27FC236}">
              <a16:creationId xmlns:a16="http://schemas.microsoft.com/office/drawing/2014/main" id="{275BBE22-FC55-4A1A-A174-C6787FFAABFD}"/>
            </a:ext>
          </a:extLst>
        </xdr:cNvPr>
        <xdr:cNvGrpSpPr/>
      </xdr:nvGrpSpPr>
      <xdr:grpSpPr>
        <a:xfrm>
          <a:off x="1" y="11170920"/>
          <a:ext cx="6438899" cy="2658745"/>
          <a:chOff x="0" y="0"/>
          <a:chExt cx="5771515" cy="2762250"/>
        </a:xfrm>
      </xdr:grpSpPr>
      <xdr:pic>
        <xdr:nvPicPr>
          <xdr:cNvPr id="24" name="Picture 23">
            <a:extLst>
              <a:ext uri="{FF2B5EF4-FFF2-40B4-BE49-F238E27FC236}">
                <a16:creationId xmlns:a16="http://schemas.microsoft.com/office/drawing/2014/main" id="{7F4D25C4-D372-4223-BF79-9B997F87627A}"/>
              </a:ext>
            </a:extLst>
          </xdr:cNvPr>
          <xdr:cNvPicPr>
            <a:picLocks noChangeAspect="1"/>
          </xdr:cNvPicPr>
        </xdr:nvPicPr>
        <xdr:blipFill>
          <a:blip xmlns:r="http://schemas.openxmlformats.org/officeDocument/2006/relationships" r:embed="rId2"/>
          <a:stretch>
            <a:fillRect/>
          </a:stretch>
        </xdr:blipFill>
        <xdr:spPr>
          <a:xfrm>
            <a:off x="0" y="0"/>
            <a:ext cx="5552495" cy="2762250"/>
          </a:xfrm>
          <a:prstGeom prst="rect">
            <a:avLst/>
          </a:prstGeom>
        </xdr:spPr>
      </xdr:pic>
      <xdr:sp macro="" textlink="">
        <xdr:nvSpPr>
          <xdr:cNvPr id="25" name="Text Box 3">
            <a:extLst>
              <a:ext uri="{FF2B5EF4-FFF2-40B4-BE49-F238E27FC236}">
                <a16:creationId xmlns:a16="http://schemas.microsoft.com/office/drawing/2014/main" id="{D6C9D613-DB67-4049-8FD3-85694B064E11}"/>
              </a:ext>
            </a:extLst>
          </xdr:cNvPr>
          <xdr:cNvSpPr txBox="1"/>
        </xdr:nvSpPr>
        <xdr:spPr>
          <a:xfrm>
            <a:off x="4353419" y="2095500"/>
            <a:ext cx="1252248" cy="361950"/>
          </a:xfrm>
          <a:prstGeom prst="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2F5496"/>
                </a:solidFill>
                <a:effectLst/>
                <a:ea typeface="Calibri" panose="020F0502020204030204" pitchFamily="34" charset="0"/>
                <a:cs typeface="Times New Roman" panose="02020603050405020304" pitchFamily="18" charset="0"/>
              </a:rPr>
              <a:t>Overflow Orifice</a:t>
            </a:r>
            <a:endParaRPr lang="en-US" sz="1100">
              <a:effectLst/>
              <a:ea typeface="Calibri" panose="020F0502020204030204" pitchFamily="34" charset="0"/>
              <a:cs typeface="Times New Roman" panose="02020603050405020304" pitchFamily="18" charset="0"/>
            </a:endParaRPr>
          </a:p>
        </xdr:txBody>
      </xdr:sp>
      <xdr:sp macro="" textlink="">
        <xdr:nvSpPr>
          <xdr:cNvPr id="26" name="Rectangle: Rounded Corners 25">
            <a:extLst>
              <a:ext uri="{FF2B5EF4-FFF2-40B4-BE49-F238E27FC236}">
                <a16:creationId xmlns:a16="http://schemas.microsoft.com/office/drawing/2014/main" id="{73E43C7B-8D0D-40E4-A2D4-97CA2BF28B69}"/>
              </a:ext>
            </a:extLst>
          </xdr:cNvPr>
          <xdr:cNvSpPr/>
        </xdr:nvSpPr>
        <xdr:spPr>
          <a:xfrm>
            <a:off x="109181" y="2143125"/>
            <a:ext cx="5662334" cy="314325"/>
          </a:xfrm>
          <a:prstGeom prst="roundRect">
            <a:avLst/>
          </a:prstGeom>
          <a:noFill/>
          <a:ln w="19050"/>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xnSp macro="">
        <xdr:nvCxnSpPr>
          <xdr:cNvPr id="27" name="Straight Arrow Connector 26">
            <a:extLst>
              <a:ext uri="{FF2B5EF4-FFF2-40B4-BE49-F238E27FC236}">
                <a16:creationId xmlns:a16="http://schemas.microsoft.com/office/drawing/2014/main" id="{EEF77BDF-6E13-4479-822B-67E040BA06A0}"/>
              </a:ext>
            </a:extLst>
          </xdr:cNvPr>
          <xdr:cNvCxnSpPr/>
        </xdr:nvCxnSpPr>
        <xdr:spPr>
          <a:xfrm flipH="1">
            <a:off x="3305177" y="952500"/>
            <a:ext cx="571499" cy="0"/>
          </a:xfrm>
          <a:prstGeom prst="straightConnector1">
            <a:avLst/>
          </a:prstGeom>
          <a:ln w="28575">
            <a:solidFill>
              <a:schemeClr val="accent2"/>
            </a:solidFill>
            <a:tailEnd type="triangle"/>
          </a:ln>
        </xdr:spPr>
        <xdr:style>
          <a:lnRef idx="2">
            <a:schemeClr val="accent2"/>
          </a:lnRef>
          <a:fillRef idx="0">
            <a:schemeClr val="accent2"/>
          </a:fillRef>
          <a:effectRef idx="1">
            <a:schemeClr val="accent2"/>
          </a:effectRef>
          <a:fontRef idx="minor">
            <a:schemeClr val="tx1"/>
          </a:fontRef>
        </xdr:style>
      </xdr:cxnSp>
      <xdr:sp macro="" textlink="">
        <xdr:nvSpPr>
          <xdr:cNvPr id="28" name="Text Box 6">
            <a:extLst>
              <a:ext uri="{FF2B5EF4-FFF2-40B4-BE49-F238E27FC236}">
                <a16:creationId xmlns:a16="http://schemas.microsoft.com/office/drawing/2014/main" id="{92902209-B691-4E57-B6D0-C9F2DDA589AC}"/>
              </a:ext>
            </a:extLst>
          </xdr:cNvPr>
          <xdr:cNvSpPr txBox="1"/>
        </xdr:nvSpPr>
        <xdr:spPr>
          <a:xfrm>
            <a:off x="3876675" y="657225"/>
            <a:ext cx="1328716" cy="68580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2F5496"/>
                </a:solidFill>
                <a:effectLst/>
                <a:latin typeface="Calibri" panose="020F0502020204030204" pitchFamily="34" charset="0"/>
                <a:ea typeface="Calibri" panose="020F0502020204030204" pitchFamily="34" charset="0"/>
                <a:cs typeface="Times New Roman" panose="02020603050405020304" pitchFamily="18" charset="0"/>
              </a:rPr>
              <a:t>Storage volume @ 370’ = 26,389 ft</a:t>
            </a:r>
            <a:r>
              <a:rPr lang="en-US" sz="1100" b="1" baseline="30000">
                <a:solidFill>
                  <a:srgbClr val="2F5496"/>
                </a:solidFill>
                <a:effectLst/>
                <a:latin typeface="Calibri" panose="020F0502020204030204" pitchFamily="34" charset="0"/>
                <a:ea typeface="Calibri" panose="020F0502020204030204" pitchFamily="34" charset="0"/>
                <a:cs typeface="Times New Roman" panose="02020603050405020304" pitchFamily="18" charset="0"/>
              </a:rPr>
              <a:t>3</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2</xdr:colOff>
      <xdr:row>63</xdr:row>
      <xdr:rowOff>125730</xdr:rowOff>
    </xdr:from>
    <xdr:to>
      <xdr:col>0</xdr:col>
      <xdr:colOff>6275070</xdr:colOff>
      <xdr:row>82</xdr:row>
      <xdr:rowOff>38100</xdr:rowOff>
    </xdr:to>
    <xdr:grpSp>
      <xdr:nvGrpSpPr>
        <xdr:cNvPr id="29" name="Group 28">
          <a:extLst>
            <a:ext uri="{FF2B5EF4-FFF2-40B4-BE49-F238E27FC236}">
              <a16:creationId xmlns:a16="http://schemas.microsoft.com/office/drawing/2014/main" id="{CEB0422D-0C5C-4B78-BD0C-FF56EC014D85}"/>
            </a:ext>
          </a:extLst>
        </xdr:cNvPr>
        <xdr:cNvGrpSpPr/>
      </xdr:nvGrpSpPr>
      <xdr:grpSpPr>
        <a:xfrm>
          <a:off x="2" y="16066770"/>
          <a:ext cx="6275068" cy="3387090"/>
          <a:chOff x="215122" y="5"/>
          <a:chExt cx="5814203" cy="3652833"/>
        </a:xfrm>
      </xdr:grpSpPr>
      <xdr:pic>
        <xdr:nvPicPr>
          <xdr:cNvPr id="30" name="Picture 29">
            <a:extLst>
              <a:ext uri="{FF2B5EF4-FFF2-40B4-BE49-F238E27FC236}">
                <a16:creationId xmlns:a16="http://schemas.microsoft.com/office/drawing/2014/main" id="{57A6EE61-8551-4F9D-8204-82C91220A9F0}"/>
              </a:ext>
            </a:extLst>
          </xdr:cNvPr>
          <xdr:cNvPicPr>
            <a:picLocks noChangeAspect="1"/>
          </xdr:cNvPicPr>
        </xdr:nvPicPr>
        <xdr:blipFill rotWithShape="1">
          <a:blip xmlns:r="http://schemas.openxmlformats.org/officeDocument/2006/relationships" r:embed="rId3"/>
          <a:srcRect t="1797" r="2178" b="4"/>
          <a:stretch/>
        </xdr:blipFill>
        <xdr:spPr>
          <a:xfrm>
            <a:off x="215122" y="5"/>
            <a:ext cx="5814203" cy="3652833"/>
          </a:xfrm>
          <a:prstGeom prst="rect">
            <a:avLst/>
          </a:prstGeom>
        </xdr:spPr>
      </xdr:pic>
      <xdr:sp macro="" textlink="">
        <xdr:nvSpPr>
          <xdr:cNvPr id="31" name="Rectangle: Rounded Corners 30">
            <a:extLst>
              <a:ext uri="{FF2B5EF4-FFF2-40B4-BE49-F238E27FC236}">
                <a16:creationId xmlns:a16="http://schemas.microsoft.com/office/drawing/2014/main" id="{9A829B9C-F3C7-4DB1-809D-45373133781E}"/>
              </a:ext>
            </a:extLst>
          </xdr:cNvPr>
          <xdr:cNvSpPr/>
        </xdr:nvSpPr>
        <xdr:spPr>
          <a:xfrm>
            <a:off x="215123" y="1542557"/>
            <a:ext cx="1251728" cy="145635"/>
          </a:xfrm>
          <a:prstGeom prst="roundRect">
            <a:avLst/>
          </a:prstGeom>
          <a:noFill/>
          <a:ln w="19050"/>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6000"/>
              </a:lnSpc>
              <a:spcBef>
                <a:spcPts val="0"/>
              </a:spcBef>
              <a:spcAft>
                <a:spcPts val="800"/>
              </a:spcAft>
            </a:pPr>
            <a:r>
              <a:rPr lang="en-US" sz="1100">
                <a:effectLst/>
                <a:ea typeface="Calibri" panose="020F0502020204030204" pitchFamily="34" charset="0"/>
                <a:cs typeface="Times New Roman" panose="02020603050405020304" pitchFamily="18" charset="0"/>
              </a:rPr>
              <a:t> </a:t>
            </a:r>
          </a:p>
        </xdr:txBody>
      </xdr:sp>
    </xdr:grpSp>
    <xdr:clientData/>
  </xdr:twoCellAnchor>
  <xdr:twoCellAnchor>
    <xdr:from>
      <xdr:col>0</xdr:col>
      <xdr:colOff>3114675</xdr:colOff>
      <xdr:row>10</xdr:row>
      <xdr:rowOff>28575</xdr:rowOff>
    </xdr:from>
    <xdr:to>
      <xdr:col>0</xdr:col>
      <xdr:colOff>3286125</xdr:colOff>
      <xdr:row>10</xdr:row>
      <xdr:rowOff>180975</xdr:rowOff>
    </xdr:to>
    <xdr:sp macro="" textlink="">
      <xdr:nvSpPr>
        <xdr:cNvPr id="32" name="Rectangle 31">
          <a:extLst>
            <a:ext uri="{FF2B5EF4-FFF2-40B4-BE49-F238E27FC236}">
              <a16:creationId xmlns:a16="http://schemas.microsoft.com/office/drawing/2014/main" id="{8984AF38-C397-4F65-B908-14B68AD60618}"/>
            </a:ext>
          </a:extLst>
        </xdr:cNvPr>
        <xdr:cNvSpPr/>
      </xdr:nvSpPr>
      <xdr:spPr>
        <a:xfrm>
          <a:off x="3112770" y="2960370"/>
          <a:ext cx="175260" cy="1524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74294</xdr:colOff>
      <xdr:row>18</xdr:row>
      <xdr:rowOff>91440</xdr:rowOff>
    </xdr:from>
    <xdr:to>
      <xdr:col>6</xdr:col>
      <xdr:colOff>217169</xdr:colOff>
      <xdr:row>40</xdr:row>
      <xdr:rowOff>17961</xdr:rowOff>
    </xdr:to>
    <xdr:graphicFrame macro="">
      <xdr:nvGraphicFramePr>
        <xdr:cNvPr id="2" name="Chart 1">
          <a:extLst>
            <a:ext uri="{FF2B5EF4-FFF2-40B4-BE49-F238E27FC236}">
              <a16:creationId xmlns:a16="http://schemas.microsoft.com/office/drawing/2014/main" id="{AAF610FD-C1EE-47B0-B105-5F08164EE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85725</xdr:colOff>
      <xdr:row>18</xdr:row>
      <xdr:rowOff>167640</xdr:rowOff>
    </xdr:from>
    <xdr:to>
      <xdr:col>13</xdr:col>
      <xdr:colOff>495300</xdr:colOff>
      <xdr:row>40</xdr:row>
      <xdr:rowOff>91440</xdr:rowOff>
    </xdr:to>
    <xdr:graphicFrame macro="">
      <xdr:nvGraphicFramePr>
        <xdr:cNvPr id="3" name="Chart 2">
          <a:extLst>
            <a:ext uri="{FF2B5EF4-FFF2-40B4-BE49-F238E27FC236}">
              <a16:creationId xmlns:a16="http://schemas.microsoft.com/office/drawing/2014/main" id="{C23180A2-7F46-46C5-B9B9-429CFB46C9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0.11136</cdr:x>
      <cdr:y>0.7086</cdr:y>
    </cdr:from>
    <cdr:to>
      <cdr:x>0.9729</cdr:x>
      <cdr:y>0.80116</cdr:y>
    </cdr:to>
    <cdr:pic>
      <cdr:nvPicPr>
        <cdr:cNvPr id="3" name="chart">
          <a:extLst xmlns:a="http://schemas.openxmlformats.org/drawingml/2006/main">
            <a:ext uri="{FF2B5EF4-FFF2-40B4-BE49-F238E27FC236}">
              <a16:creationId xmlns:a16="http://schemas.microsoft.com/office/drawing/2014/main" id="{9CC55B58-2A1C-43EC-B4A2-3C062942A6A7}"/>
            </a:ext>
          </a:extLst>
        </cdr:cNvPr>
        <cdr:cNvPicPr>
          <a:picLocks xmlns:a="http://schemas.openxmlformats.org/drawingml/2006/main"/>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61872" y="2915743"/>
          <a:ext cx="5120640" cy="380866"/>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ox\Downloads\BMPTrackingTable_02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MP P Tracking Table"/>
      <sheetName val="Performance Curves"/>
      <sheetName val="Loading Rates"/>
      <sheetName val="BMP Definitions"/>
      <sheetName val="Dropdowns"/>
      <sheetName val="Maintenance Only"/>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Schelley, Emily" id="{4A49E12C-A513-44CD-92BE-3598AD10BF9D}" userId="Schelley, Emily" providerId="None"/>
  <person displayName="Voisin, Heather" id="{B6FE8957-92F5-4AF5-8A79-475001769D0B}" userId="S::Heather.Voisin@vermont.gov::e80f1533-3f72-4ba3-8eb2-5c90f6c2e733"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y Macrellis" refreshedDate="45197.48728252315" createdVersion="6" refreshedVersion="8" minRefreshableVersion="3" recordCount="278" xr:uid="{1F97D924-DC9F-4CDB-885A-73F4855FF9E0}">
  <cacheSource type="worksheet">
    <worksheetSource ref="A2:BT279" sheet="BMP Tracking Table"/>
  </cacheSource>
  <cacheFields count="72">
    <cacheField name="Unique ID " numFmtId="0">
      <sharedItems containsBlank="1"/>
    </cacheField>
    <cacheField name="Project Name" numFmtId="0">
      <sharedItems containsBlank="1"/>
    </cacheField>
    <cacheField name="Land Owner" numFmtId="0">
      <sharedItems containsBlank="1"/>
    </cacheField>
    <cacheField name="Responsible Party " numFmtId="0">
      <sharedItems containsBlank="1"/>
    </cacheField>
    <cacheField name="Latitude (decimal degrees)" numFmtId="165">
      <sharedItems containsString="0" containsBlank="1" containsNumber="1" minValue="43.587445000000002" maxValue="44.809692248563799"/>
    </cacheField>
    <cacheField name="Longitude (decimal degrees)" numFmtId="165">
      <sharedItems containsString="0" containsBlank="1" containsNumber="1" minValue="-73.217848564631623" maxValue="-72.967012999999994"/>
    </cacheField>
    <cacheField name="New Impervious (acres)" numFmtId="2">
      <sharedItems containsString="0" containsBlank="1" containsNumber="1" minValue="0" maxValue="5.8789999999999996"/>
    </cacheField>
    <cacheField name="Redeveloped Impervious (acres)" numFmtId="2">
      <sharedItems containsString="0" containsBlank="1" containsNumber="1" minValue="0" maxValue="7.97"/>
    </cacheField>
    <cacheField name="Drainage area (acres)" numFmtId="2">
      <sharedItems containsString="0" containsBlank="1" containsNumber="1" minValue="0.01" maxValue="91.095676999999995"/>
    </cacheField>
    <cacheField name="Existing SW permit number (if applicable)" numFmtId="0">
      <sharedItems containsBlank="1"/>
    </cacheField>
    <cacheField name="S/N" numFmtId="0">
      <sharedItems containsBlank="1"/>
    </cacheField>
    <cacheField name="Watershed Projects Database ID (if known)" numFmtId="0">
      <sharedItems containsNonDate="0" containsString="0" containsBlank="1"/>
    </cacheField>
    <cacheField name="Part of MS4/ Incorporated into MS4" numFmtId="0">
      <sharedItems containsNonDate="0" containsString="0" containsBlank="1"/>
    </cacheField>
    <cacheField name="Cost Estimate (optional)" numFmtId="164">
      <sharedItems containsNonDate="0" containsString="0" containsBlank="1"/>
    </cacheField>
    <cacheField name="BMP Status " numFmtId="0">
      <sharedItems containsBlank="1" count="6">
        <s v="Complete"/>
        <s v="Planned"/>
        <s v="Preliminary Design (&lt;100%)"/>
        <s v="Under Construction"/>
        <s v="Final Design (100%)"/>
        <m/>
      </sharedItems>
    </cacheField>
    <cacheField name="Year Planned Construction" numFmtId="0">
      <sharedItems containsBlank="1" containsMixedTypes="1" containsNumber="1" containsInteger="1" minValue="2016" maxValue="2032"/>
    </cacheField>
    <cacheField name="Date Constructed" numFmtId="0">
      <sharedItems containsBlank="1" containsMixedTypes="1" containsNumber="1" containsInteger="1" minValue="2008" maxValue="2022" count="16">
        <n v="2008"/>
        <n v="2010"/>
        <n v="2011"/>
        <n v="2012"/>
        <n v="2013"/>
        <n v="2014"/>
        <n v="2015"/>
        <n v="2016"/>
        <n v="2017"/>
        <n v="2018"/>
        <n v="2019"/>
        <n v="2020"/>
        <n v="2021"/>
        <n v="2022"/>
        <s v="Not constructed"/>
        <m/>
      </sharedItems>
    </cacheField>
    <cacheField name="Date of last inspection" numFmtId="0">
      <sharedItems containsNonDate="0" containsString="0" containsBlank="1"/>
    </cacheField>
    <cacheField name="Maintenance needed?" numFmtId="0">
      <sharedItems containsNonDate="0" containsString="0" containsBlank="1"/>
    </cacheField>
    <cacheField name="Applicable FRP" numFmtId="0">
      <sharedItems containsBlank="1"/>
    </cacheField>
    <cacheField name="LC TMDL Drainage Area" numFmtId="0">
      <sharedItems count="11">
        <s v="Malletts Bay Direct Drainage"/>
        <s v="Winooski River"/>
        <s v="St. Albans Bay Direct Drainage"/>
        <s v="Otter Creek"/>
        <s v="Mississquoi River"/>
        <s v="Lamoille River"/>
        <s v="Otter Creek Direct Drainage"/>
        <s v="Laplatte River"/>
        <s v="Northeast Arm Direct Drainage"/>
        <s v="Mississquoi Bay Direct Drainage"/>
        <s v=""/>
      </sharedItems>
    </cacheField>
    <cacheField name="LC TMDL Lake Segment" numFmtId="0">
      <sharedItems count="8">
        <s v="Malletts Bay"/>
        <s v="Main Lake"/>
        <s v="St. Albans Bay"/>
        <s v="Otter Creek"/>
        <s v="Missisquoi Bay"/>
        <s v="Shelburne Bay"/>
        <s v="Northeast Arm"/>
        <s v=""/>
      </sharedItems>
    </cacheField>
    <cacheField name="Eligible for Phosphorus Credit?" numFmtId="0">
      <sharedItems containsBlank="1"/>
    </cacheField>
    <cacheField name="BMP Type " numFmtId="0">
      <sharedItems containsBlank="1" count="18">
        <s v="Wet pond/ Created Wetland"/>
        <s v="Grass Channel"/>
        <s v="Reduction of exisitng impervious"/>
        <s v="Disconnection"/>
        <s v="Gravel Wetland"/>
        <s v="Infiltration Trench"/>
        <s v="Dry Swale (w/ underdrain)"/>
        <s v="Wet Swale"/>
        <s v="Sand filter (infiltrating)"/>
        <s v="Infiltration Chambers"/>
        <s v="Swirl Separator"/>
        <s v="Sand filter (w/ underdrain)"/>
        <s v="Infiltration Basin"/>
        <s v="Extended Dry Detention pond"/>
        <s v="Bioretention (w/ underdrain)"/>
        <s v="Bioretention (infiltrating)"/>
        <m/>
        <s v="Surface infiltration" u="1"/>
      </sharedItems>
    </cacheField>
    <cacheField name="Impervious area  (acres)" numFmtId="0">
      <sharedItems containsString="0" containsBlank="1" containsNumber="1" minValue="8.9999999999999993E-3" maxValue="21.338872000000002"/>
    </cacheField>
    <cacheField name="Impervious land use" numFmtId="0">
      <sharedItems containsBlank="1" count="6">
        <s v="Paved Roads - Facilities"/>
        <s v="Paved Roads, 0-10% Slope, Moderate Hydrologic Connectivity"/>
        <s v="Paved Roads, 0-10% Slope, High Hydrologic Connectivity"/>
        <s v="Developed Impervious"/>
        <s v="Paved Roads, 0-10% Slope, Low Hydrologic Connectivity"/>
        <m/>
      </sharedItems>
    </cacheField>
    <cacheField name="Pervious Entry Method" numFmtId="0">
      <sharedItems containsBlank="1"/>
    </cacheField>
    <cacheField name="Pervious HSG A" numFmtId="0">
      <sharedItems containsNonDate="0" containsString="0" containsBlank="1"/>
    </cacheField>
    <cacheField name="Pervious HSG B" numFmtId="0">
      <sharedItems containsNonDate="0" containsString="0" containsBlank="1"/>
    </cacheField>
    <cacheField name="Pervious HSG C" numFmtId="0">
      <sharedItems containsNonDate="0" containsString="0" containsBlank="1"/>
    </cacheField>
    <cacheField name="Pervious HSG D " numFmtId="0">
      <sharedItems containsNonDate="0" containsString="0" containsBlank="1"/>
    </cacheField>
    <cacheField name="Total Pervious area (acres)" numFmtId="0">
      <sharedItems containsString="0" containsBlank="1" containsNumber="1" minValue="0" maxValue="84.31"/>
    </cacheField>
    <cacheField name="Pervious Land Use" numFmtId="0">
      <sharedItems containsBlank="1"/>
    </cacheField>
    <cacheField name="Bottom Width (ft)" numFmtId="0">
      <sharedItems containsString="0" containsBlank="1" containsNumber="1" minValue="2" maxValue="8"/>
    </cacheField>
    <cacheField name="Average Depth at Peak Storage (ft)" numFmtId="0">
      <sharedItems containsString="0" containsBlank="1" containsNumber="1" minValue="0.04" maxValue="1.33"/>
    </cacheField>
    <cacheField name="Side Slope (ft/ft)" numFmtId="0">
      <sharedItems containsString="0" containsBlank="1" containsNumber="1" minValue="1.5" maxValue="9"/>
    </cacheField>
    <cacheField name="Length Provided (ft)" numFmtId="0">
      <sharedItems containsString="0" containsBlank="1" containsNumber="1" minValue="50" maxValue="933"/>
    </cacheField>
    <cacheField name="Min Length Required (ft)" numFmtId="0">
      <sharedItems containsString="0" containsBlank="1" containsNumber="1" minValue="63.12" maxValue="520"/>
    </cacheField>
    <cacheField name="Manually entered practice effiency " numFmtId="0">
      <sharedItems containsString="0" containsBlank="1" containsNumber="1" minValue="0.125" maxValue="0.74"/>
    </cacheField>
    <cacheField name="Storage volume (ft3)" numFmtId="166">
      <sharedItems containsString="0" containsBlank="1" containsNumber="1" minValue="0" maxValue="131210.5"/>
    </cacheField>
    <cacheField name="Infiltration rate (in/hr)" numFmtId="0">
      <sharedItems containsBlank="1"/>
    </cacheField>
    <cacheField name="Drainage Area Dominant Underlying HSG" numFmtId="0">
      <sharedItems containsBlank="1"/>
    </cacheField>
    <cacheField name="BMP Underlying HSG" numFmtId="0">
      <sharedItems containsBlank="1"/>
    </cacheField>
    <cacheField name="* Load Before Treatment (kg/yr)" numFmtId="2">
      <sharedItems containsSemiMixedTypes="0" containsString="0" containsNumber="1" minValue="0" maxValue="14.433450980537398"/>
    </cacheField>
    <cacheField name="* Storage Depth (inches)" numFmtId="2">
      <sharedItems containsMixedTypes="1" containsNumber="1" minValue="0" maxValue="2.4618972996059214"/>
    </cacheField>
    <cacheField name="Upper Efficiency - Lower Efficiency" numFmtId="2">
      <sharedItems containsMixedTypes="1" containsNumber="1" minValue="0" maxValue="0.26"/>
    </cacheField>
    <cacheField name="Percent of Storage Depth Step" numFmtId="2">
      <sharedItems containsMixedTypes="1" containsNumber="1" minValue="1.7626738956005854E-3" maxValue="0.98980633429917664"/>
    </cacheField>
    <cacheField name="* Practice Efficiency" numFmtId="10">
      <sharedItems containsMixedTypes="1" containsNumber="1" minValue="8.8717421755533937E-5" maxValue="1"/>
    </cacheField>
    <cacheField name="* P Reduction (kg/year)" numFmtId="2">
      <sharedItems containsMixedTypes="1" containsNumber="1" minValue="1.1374396469673857E-5" maxValue="12.146670024355192"/>
    </cacheField>
    <cacheField name="Manual P Reduction (kg/yr)" numFmtId="0">
      <sharedItems containsSemiMixedTypes="0" containsString="0" containsNumber="1" minValue="0" maxValue="1.9153665231101398"/>
    </cacheField>
    <cacheField name="Is this an upgrade to an existing BMP?" numFmtId="0">
      <sharedItems/>
    </cacheField>
    <cacheField name="Has the upgrade changed the drainage area?" numFmtId="2">
      <sharedItems containsNonDate="0" containsString="0" containsBlank="1"/>
    </cacheField>
    <cacheField name="% Credit to TS4" numFmtId="9">
      <sharedItems containsSemiMixedTypes="0" containsString="0" containsNumber="1" minValue="0.52238805970149249" maxValue="1"/>
    </cacheField>
    <cacheField name="*P Credit (kg/yr)" numFmtId="0">
      <sharedItems containsMixedTypes="1" containsNumber="1" minValue="1.1374396469673857E-5" maxValue="12.146670024355192"/>
    </cacheField>
    <cacheField name="Prior Impervious area (acres)" numFmtId="2">
      <sharedItems containsNonDate="0" containsString="0" containsBlank="1"/>
    </cacheField>
    <cacheField name="Pervious Entry Method 2" numFmtId="2">
      <sharedItems containsNonDate="0" containsString="0" containsBlank="1"/>
    </cacheField>
    <cacheField name=" HSG A " numFmtId="2">
      <sharedItems containsNonDate="0" containsString="0" containsBlank="1"/>
    </cacheField>
    <cacheField name=" HSG B" numFmtId="2">
      <sharedItems containsNonDate="0" containsString="0" containsBlank="1"/>
    </cacheField>
    <cacheField name="HSG C" numFmtId="2">
      <sharedItems containsNonDate="0" containsString="0" containsBlank="1"/>
    </cacheField>
    <cacheField name="HSG D" numFmtId="2">
      <sharedItems containsNonDate="0" containsString="0" containsBlank="1"/>
    </cacheField>
    <cacheField name="Total Pervious Area " numFmtId="2">
      <sharedItems containsNonDate="0" containsString="0" containsBlank="1"/>
    </cacheField>
    <cacheField name="BMP type prior to upgrade" numFmtId="0">
      <sharedItems containsNonDate="0" containsString="0" containsBlank="1"/>
    </cacheField>
    <cacheField name="Previous storage volume (ft3)" numFmtId="3">
      <sharedItems containsNonDate="0" containsString="0" containsBlank="1"/>
    </cacheField>
    <cacheField name="Infiltration rate prior to upgrade (in/hr)" numFmtId="3">
      <sharedItems containsNonDate="0" containsString="0" containsBlank="1"/>
    </cacheField>
    <cacheField name="* Prior Load Before Treatment (kg/year)" numFmtId="2">
      <sharedItems/>
    </cacheField>
    <cacheField name="* Prior Storage Depth (inches)" numFmtId="2">
      <sharedItems containsMixedTypes="1" containsNumber="1" containsInteger="1" minValue="0" maxValue="0"/>
    </cacheField>
    <cacheField name="Upper Efficiency - Lower Efficiency4" numFmtId="2">
      <sharedItems/>
    </cacheField>
    <cacheField name="Percent of Storage Depth Step5" numFmtId="2">
      <sharedItems/>
    </cacheField>
    <cacheField name="* Prior Practice Efficiency" numFmtId="10">
      <sharedItems/>
    </cacheField>
    <cacheField name="* Estimated P removal of Prior Practice (kg/yr)" numFmtId="2">
      <sharedItems/>
    </cacheField>
    <cacheField name="Manual P Reduction - Prior Practice (kg/yr)" numFmtId="2">
      <sharedItems containsNonDate="0" containsString="0" containsBlank="1"/>
    </cacheField>
    <cacheField name="Notes and Assumptions" numFmtId="2">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8">
  <r>
    <s v="{737DF069-165F-495B-9181-11203A93BD5F}"/>
    <s v="Colchester D5 &quot;:Fort&quot; Site Redevelopement"/>
    <s v="VTrans"/>
    <s v="Vtrans TS4"/>
    <m/>
    <m/>
    <n v="0"/>
    <n v="3.03"/>
    <n v="1.8"/>
    <s v="6363-INDS"/>
    <s v="S/N 001"/>
    <m/>
    <m/>
    <m/>
    <x v="0"/>
    <m/>
    <x v="0"/>
    <m/>
    <m/>
    <m/>
    <x v="0"/>
    <x v="0"/>
    <s v="Yes"/>
    <x v="0"/>
    <n v="1.74"/>
    <x v="0"/>
    <s v="Total Pervious"/>
    <m/>
    <m/>
    <m/>
    <m/>
    <n v="0.06"/>
    <s v="Developed Pervious "/>
    <m/>
    <m/>
    <m/>
    <m/>
    <m/>
    <m/>
    <n v="131210.5"/>
    <m/>
    <s v="A"/>
    <s v="A"/>
    <n v="1.1773535222545901"/>
    <n v="2"/>
    <s v=""/>
    <s v=""/>
    <n v="0.57999999999999996"/>
    <n v="0.68286504290766226"/>
    <n v="0"/>
    <s v="No"/>
    <m/>
    <n v="1"/>
    <n v="0.68286504290766226"/>
    <m/>
    <m/>
    <m/>
    <m/>
    <m/>
    <m/>
    <m/>
    <m/>
    <m/>
    <m/>
    <s v=""/>
    <n v="0"/>
    <s v=""/>
    <s v=""/>
    <s v=""/>
    <s v=""/>
    <m/>
    <s v="Offset Pond. Maintenance agreement with Town. Town to maintain. Meet with town to share credit."/>
  </r>
  <r>
    <s v="{F8189265-3B7F-4E2F-9B56-08EA7039BD3A}"/>
    <s v="Colchester D5 &quot;:Fort&quot; Site Redevelopement"/>
    <s v="VTrans"/>
    <s v="Vtrans TS4"/>
    <m/>
    <m/>
    <n v="0"/>
    <n v="3.03"/>
    <n v="0.47"/>
    <s v="6363-INDS"/>
    <s v="S/N 001"/>
    <m/>
    <m/>
    <m/>
    <x v="0"/>
    <m/>
    <x v="1"/>
    <m/>
    <m/>
    <m/>
    <x v="0"/>
    <x v="0"/>
    <s v="Yes"/>
    <x v="1"/>
    <n v="0.3"/>
    <x v="0"/>
    <s v="Total Pervious"/>
    <m/>
    <m/>
    <m/>
    <m/>
    <n v="0.17"/>
    <s v="Developed Pervious "/>
    <n v="2"/>
    <n v="0.31"/>
    <n v="4"/>
    <n v="240"/>
    <m/>
    <m/>
    <n v="241.05599999999998"/>
    <m/>
    <s v="A"/>
    <s v="A"/>
    <n v="0.20299198659561896"/>
    <n v="0.21356811813127463"/>
    <n v="3.9999999999999994E-2"/>
    <n v="6.7840590656373101E-2"/>
    <n v="2.2713623626254925E-2"/>
    <n v="4.6106835826786735E-3"/>
    <n v="0"/>
    <s v="No"/>
    <m/>
    <n v="1"/>
    <n v="4.6106835826786735E-3"/>
    <m/>
    <m/>
    <m/>
    <m/>
    <m/>
    <m/>
    <m/>
    <m/>
    <m/>
    <m/>
    <s v=""/>
    <n v="0"/>
    <s v=""/>
    <s v=""/>
    <s v=""/>
    <s v=""/>
    <m/>
    <s v="Grass Swale 1 "/>
  </r>
  <r>
    <s v="{117DB431-067E-478B-9472-345F9E4A4BE1}"/>
    <s v="Colchester D5 &quot;:Fort&quot; Site Redevelopement"/>
    <s v="VTrans"/>
    <s v="Vtrans TS4"/>
    <m/>
    <m/>
    <n v="0"/>
    <n v="3.03"/>
    <n v="0.5"/>
    <s v="6363-INDS"/>
    <s v="S/N 001"/>
    <m/>
    <m/>
    <m/>
    <x v="0"/>
    <m/>
    <x v="1"/>
    <m/>
    <m/>
    <m/>
    <x v="0"/>
    <x v="0"/>
    <s v="Yes"/>
    <x v="1"/>
    <n v="0.28000000000000003"/>
    <x v="0"/>
    <s v="Total Pervious"/>
    <m/>
    <m/>
    <m/>
    <m/>
    <n v="0.22"/>
    <s v="Developed Pervious "/>
    <n v="2"/>
    <n v="0.28000000000000003"/>
    <n v="3"/>
    <n v="340"/>
    <m/>
    <m/>
    <n v="270.36799999999999"/>
    <m/>
    <s v="A"/>
    <s v="A"/>
    <n v="0.1894591874892444"/>
    <n v="0.25125922079310908"/>
    <n v="3.9999999999999994E-2"/>
    <n v="0.25629610396554536"/>
    <n v="3.0251844158621814E-2"/>
    <n v="5.7314898143437333E-3"/>
    <n v="0"/>
    <s v="No"/>
    <m/>
    <n v="1"/>
    <n v="5.7314898143437333E-3"/>
    <m/>
    <m/>
    <m/>
    <m/>
    <m/>
    <m/>
    <m/>
    <m/>
    <m/>
    <m/>
    <s v=""/>
    <n v="0"/>
    <s v=""/>
    <s v=""/>
    <s v=""/>
    <s v=""/>
    <m/>
    <s v="Grass Swale 2"/>
  </r>
  <r>
    <s v="{03FB9B58-EAEB-47E3-9DE4-E5D8350D9F23}"/>
    <s v="Colchester D5 &quot;:Fort&quot; Site Redevelopement"/>
    <s v="VTrans"/>
    <s v="Vtrans TS4"/>
    <m/>
    <m/>
    <n v="0.16"/>
    <n v="0"/>
    <n v="1.51"/>
    <s v="6363-INDS"/>
    <s v="S/N 002"/>
    <m/>
    <m/>
    <m/>
    <x v="0"/>
    <m/>
    <x v="1"/>
    <m/>
    <m/>
    <m/>
    <x v="0"/>
    <x v="0"/>
    <s v="Yes"/>
    <x v="1"/>
    <n v="1.38"/>
    <x v="0"/>
    <s v="Total Pervious"/>
    <m/>
    <m/>
    <m/>
    <m/>
    <n v="0.13"/>
    <s v="Developed Pervious "/>
    <n v="8"/>
    <n v="0.41"/>
    <n v="3"/>
    <n v="230"/>
    <m/>
    <m/>
    <n v="870.38900000000001"/>
    <m/>
    <s v="A"/>
    <s v="A"/>
    <n v="0.93376313833984714"/>
    <n v="0.1728851369237682"/>
    <n v="3.0000000000000002E-2"/>
    <n v="0.7288513692376819"/>
    <n v="2.1865541077130457E-2"/>
    <n v="2.0417236257680178E-2"/>
    <n v="0"/>
    <s v="No"/>
    <m/>
    <n v="1"/>
    <n v="2.0417236257680178E-2"/>
    <m/>
    <m/>
    <m/>
    <m/>
    <m/>
    <m/>
    <m/>
    <m/>
    <m/>
    <m/>
    <s v=""/>
    <n v="0"/>
    <s v=""/>
    <s v=""/>
    <s v=""/>
    <s v=""/>
    <m/>
    <s v="Grass Swale 3"/>
  </r>
  <r>
    <s v="{2AA3C703-BD92-4860-9CB1-65C62720033C}"/>
    <s v="Middlesex D6 garage expansion"/>
    <s v="VTrans"/>
    <s v="Vtrans TS4"/>
    <m/>
    <m/>
    <n v="0"/>
    <n v="1.69"/>
    <m/>
    <s v="4578-9010"/>
    <s v="S/N 001"/>
    <m/>
    <m/>
    <m/>
    <x v="0"/>
    <m/>
    <x v="1"/>
    <m/>
    <m/>
    <m/>
    <x v="1"/>
    <x v="1"/>
    <s v="Yes"/>
    <x v="2"/>
    <n v="1.69"/>
    <x v="1"/>
    <s v="Total Pervious"/>
    <m/>
    <m/>
    <m/>
    <m/>
    <m/>
    <s v="Developed Pervious "/>
    <m/>
    <m/>
    <m/>
    <m/>
    <m/>
    <n v="0.74"/>
    <n v="0"/>
    <m/>
    <m/>
    <s v="A"/>
    <n v="1.1099589705458452"/>
    <s v=""/>
    <s v=""/>
    <s v=""/>
    <s v=""/>
    <s v=""/>
    <n v="0.8213696382039255"/>
    <s v="No"/>
    <m/>
    <n v="1"/>
    <n v="0.8213696382039255"/>
    <m/>
    <m/>
    <m/>
    <m/>
    <m/>
    <m/>
    <m/>
    <m/>
    <m/>
    <m/>
    <s v=""/>
    <n v="0"/>
    <s v=""/>
    <s v=""/>
    <s v=""/>
    <s v=""/>
    <m/>
    <s v="Treatment is impervious removal credit. No modeling or calculations of area draining to it."/>
  </r>
  <r>
    <s v="{6DBCF117-9898-4AC1-BC49-1E940F781328}"/>
    <s v="Moretown-Middlesex BRS0284(14)"/>
    <s v="VTrans"/>
    <s v="Vtrans TS4"/>
    <m/>
    <m/>
    <n v="0.06"/>
    <n v="0"/>
    <n v="0.52600000000000002"/>
    <s v="4278-9015"/>
    <s v="S/N 001"/>
    <m/>
    <m/>
    <m/>
    <x v="0"/>
    <m/>
    <x v="1"/>
    <m/>
    <m/>
    <m/>
    <x v="1"/>
    <x v="1"/>
    <s v="Yes"/>
    <x v="3"/>
    <n v="5.7000000000000002E-2"/>
    <x v="1"/>
    <s v="Total Pervious"/>
    <m/>
    <m/>
    <m/>
    <m/>
    <n v="0.47"/>
    <s v="Developed Pervious "/>
    <m/>
    <m/>
    <m/>
    <m/>
    <m/>
    <n v="0.55000000000000004"/>
    <n v="0"/>
    <m/>
    <s v="B/D"/>
    <s v="B/D"/>
    <n v="3.7436485988824368E-2"/>
    <n v="0"/>
    <s v=""/>
    <s v=""/>
    <s v=""/>
    <s v=""/>
    <n v="2.0590067293853404E-2"/>
    <s v="No"/>
    <m/>
    <n v="1"/>
    <n v="2.0590067293853404E-2"/>
    <m/>
    <m/>
    <m/>
    <m/>
    <m/>
    <m/>
    <m/>
    <m/>
    <m/>
    <m/>
    <s v=""/>
    <n v="0"/>
    <s v=""/>
    <s v=""/>
    <s v=""/>
    <s v=""/>
    <m/>
    <m/>
  </r>
  <r>
    <s v="{21161F9A-B46D-414B-A05E-72A0061D4638}"/>
    <s v="Moretown-Middlesex BRS0284(14)"/>
    <s v="VTrans"/>
    <s v="Vtrans TS4"/>
    <m/>
    <m/>
    <n v="0.19"/>
    <n v="0"/>
    <n v="0.61899999999999999"/>
    <s v="4278-9015"/>
    <s v="S/N 002"/>
    <m/>
    <m/>
    <m/>
    <x v="0"/>
    <m/>
    <x v="1"/>
    <m/>
    <m/>
    <m/>
    <x v="1"/>
    <x v="1"/>
    <s v="Yes"/>
    <x v="3"/>
    <n v="0.19"/>
    <x v="1"/>
    <s v="Total Pervious"/>
    <m/>
    <m/>
    <m/>
    <m/>
    <n v="0.43"/>
    <s v="Developed Pervious "/>
    <m/>
    <m/>
    <m/>
    <m/>
    <m/>
    <n v="0.55000000000000004"/>
    <n v="0"/>
    <m/>
    <s v="B/D"/>
    <s v="B/D"/>
    <n v="0.12478828662941456"/>
    <n v="0"/>
    <s v=""/>
    <s v=""/>
    <s v=""/>
    <s v=""/>
    <n v="6.8633557646178012E-2"/>
    <s v="No"/>
    <m/>
    <n v="1"/>
    <n v="6.8633557646178012E-2"/>
    <m/>
    <m/>
    <m/>
    <m/>
    <m/>
    <m/>
    <m/>
    <m/>
    <m/>
    <m/>
    <s v=""/>
    <n v="0"/>
    <s v=""/>
    <s v=""/>
    <s v=""/>
    <s v=""/>
    <m/>
    <m/>
  </r>
  <r>
    <s v="{3D810B6C-4F08-493B-B1AE-A97A43AC49BD}"/>
    <s v="Moretown-Middlesex BRS0284(14)"/>
    <s v="VTrans"/>
    <s v="Vtrans TS4"/>
    <m/>
    <m/>
    <n v="0.01"/>
    <n v="0"/>
    <n v="0.28899999999999998"/>
    <s v="4278-9015"/>
    <s v="S/N 003a"/>
    <m/>
    <m/>
    <m/>
    <x v="0"/>
    <m/>
    <x v="1"/>
    <m/>
    <m/>
    <m/>
    <x v="1"/>
    <x v="1"/>
    <s v="Yes"/>
    <x v="1"/>
    <n v="8.9999999999999993E-3"/>
    <x v="2"/>
    <s v="Total Pervious"/>
    <m/>
    <m/>
    <m/>
    <m/>
    <n v="0.28000000000000003"/>
    <s v="Developed Pervious "/>
    <n v="2"/>
    <n v="0.06"/>
    <n v="3.5"/>
    <n v="223.767"/>
    <n v="223.767"/>
    <m/>
    <n v="29.671504199999998"/>
    <m/>
    <s v="B/D"/>
    <s v="B/D"/>
    <n v="9.1620727274782949E-3"/>
    <n v="0.26434826583443133"/>
    <n v="3.9999999999999994E-2"/>
    <n v="0.32174132917215659"/>
    <n v="3.286965316688626E-2"/>
    <n v="3.0115415284199919E-4"/>
    <n v="0"/>
    <s v="No"/>
    <m/>
    <n v="1"/>
    <n v="3.0115415284199919E-4"/>
    <m/>
    <m/>
    <m/>
    <m/>
    <m/>
    <m/>
    <m/>
    <m/>
    <m/>
    <m/>
    <s v=""/>
    <n v="0"/>
    <s v=""/>
    <s v=""/>
    <s v=""/>
    <s v=""/>
    <m/>
    <m/>
  </r>
  <r>
    <s v="{889F11E7-1644-4036-8A6C-339E41D91F41}"/>
    <s v="Moretown-Middlesex BRS0284(14)"/>
    <s v="VTrans"/>
    <s v="Vtrans TS4"/>
    <m/>
    <m/>
    <n v="7.0000000000000007E-2"/>
    <n v="0"/>
    <n v="0.58299999999999996"/>
    <s v="4278-9015"/>
    <s v="S/N 003"/>
    <m/>
    <m/>
    <m/>
    <x v="0"/>
    <m/>
    <x v="1"/>
    <m/>
    <m/>
    <m/>
    <x v="1"/>
    <x v="1"/>
    <s v="Yes"/>
    <x v="1"/>
    <n v="7.1999999999999995E-2"/>
    <x v="2"/>
    <s v="Total Pervious"/>
    <m/>
    <m/>
    <m/>
    <m/>
    <n v="0.51"/>
    <s v="Developed Pervious "/>
    <n v="3"/>
    <n v="0.09"/>
    <n v="3"/>
    <n v="193.03899999999999"/>
    <n v="193.03899999999999"/>
    <m/>
    <n v="56.811377699999994"/>
    <m/>
    <s v="B/D"/>
    <s v="B/D"/>
    <n v="7.3296581819826359E-2"/>
    <n v="0.16066952675634957"/>
    <n v="3.0000000000000002E-2"/>
    <n v="0.60669526756349568"/>
    <n v="1.8200858026904871E-2"/>
    <n v="1.3340606795600762E-3"/>
    <n v="0"/>
    <s v="No"/>
    <m/>
    <n v="1"/>
    <n v="1.3340606795600762E-3"/>
    <m/>
    <m/>
    <m/>
    <m/>
    <m/>
    <m/>
    <m/>
    <m/>
    <m/>
    <m/>
    <s v=""/>
    <n v="0"/>
    <s v=""/>
    <s v=""/>
    <s v=""/>
    <s v=""/>
    <m/>
    <m/>
  </r>
  <r>
    <s v="{5C8C0B67-37EB-490D-8D9D-467D2625FABC}"/>
    <s v="Moretown-Middlesex BRS0284(14)"/>
    <s v="VTrans"/>
    <s v="Vtrans TS4"/>
    <m/>
    <m/>
    <n v="7.0000000000000007E-2"/>
    <n v="0"/>
    <n v="0.14399999999999999"/>
    <s v="4278-9015"/>
    <s v="S/N 004"/>
    <m/>
    <m/>
    <m/>
    <x v="0"/>
    <m/>
    <x v="1"/>
    <m/>
    <m/>
    <m/>
    <x v="1"/>
    <x v="1"/>
    <s v="Yes"/>
    <x v="3"/>
    <n v="7.3999999999999996E-2"/>
    <x v="1"/>
    <s v="Total Pervious"/>
    <m/>
    <m/>
    <m/>
    <m/>
    <n v="7.0000000000000007E-2"/>
    <s v="Developed Pervious "/>
    <m/>
    <m/>
    <m/>
    <m/>
    <m/>
    <n v="0.59"/>
    <n v="0"/>
    <m/>
    <s v="B "/>
    <s v="B "/>
    <n v="4.8601753739877247E-2"/>
    <n v="0"/>
    <s v=""/>
    <s v=""/>
    <s v=""/>
    <s v=""/>
    <n v="2.8675034706527575E-2"/>
    <s v="No"/>
    <m/>
    <n v="1"/>
    <n v="2.8675034706527575E-2"/>
    <m/>
    <m/>
    <m/>
    <m/>
    <m/>
    <m/>
    <m/>
    <m/>
    <m/>
    <m/>
    <s v=""/>
    <n v="0"/>
    <s v=""/>
    <s v=""/>
    <s v=""/>
    <s v=""/>
    <m/>
    <s v="Grass swale is now disconnection with no modeling"/>
  </r>
  <r>
    <s v="{D76F9889-0F77-43BF-A48C-99A0B2E9C71C}"/>
    <s v="Moretown-Middlesex BRS0284(14)"/>
    <s v="VTrans"/>
    <s v="Vtrans TS4"/>
    <m/>
    <m/>
    <n v="0.17"/>
    <n v="0"/>
    <n v="0.93799999999999994"/>
    <s v="4278-9015"/>
    <s v="S/N 005"/>
    <m/>
    <m/>
    <m/>
    <x v="0"/>
    <m/>
    <x v="1"/>
    <m/>
    <m/>
    <m/>
    <x v="1"/>
    <x v="1"/>
    <s v="Yes"/>
    <x v="1"/>
    <n v="0.11600000000000001"/>
    <x v="2"/>
    <s v="Total Pervious"/>
    <m/>
    <m/>
    <m/>
    <m/>
    <n v="0.82"/>
    <s v="Developed Pervious "/>
    <n v="4"/>
    <n v="0.12"/>
    <n v="3"/>
    <n v="135.93899999999999"/>
    <n v="135.93899999999999"/>
    <m/>
    <n v="71.123284799999993"/>
    <m/>
    <s v="B"/>
    <s v="B"/>
    <n v="0.11808893737638693"/>
    <n v="0.13055850397660251"/>
    <n v="3.0000000000000002E-2"/>
    <n v="0.30558503976602508"/>
    <n v="9.1675511929807524E-3"/>
    <n v="1.0825863787227252E-3"/>
    <n v="0"/>
    <s v="No"/>
    <m/>
    <n v="1"/>
    <n v="1.0825863787227252E-3"/>
    <m/>
    <m/>
    <m/>
    <m/>
    <m/>
    <m/>
    <m/>
    <m/>
    <m/>
    <m/>
    <s v=""/>
    <n v="0"/>
    <s v=""/>
    <s v=""/>
    <s v=""/>
    <s v=""/>
    <m/>
    <m/>
  </r>
  <r>
    <s v="{19921B02-3B7A-4182-A52E-4D4AE0EBA06A}"/>
    <s v="Moretown-Middlesex BRS0284(14)"/>
    <s v="VTrans"/>
    <s v="Vtrans TS4"/>
    <m/>
    <m/>
    <n v="0.03"/>
    <n v="0"/>
    <n v="0.122"/>
    <s v="4278-9015"/>
    <s v="S/N 006"/>
    <m/>
    <m/>
    <m/>
    <x v="0"/>
    <m/>
    <x v="1"/>
    <m/>
    <m/>
    <m/>
    <x v="1"/>
    <x v="1"/>
    <s v="Yes"/>
    <x v="1"/>
    <n v="2.5999999999999999E-2"/>
    <x v="2"/>
    <s v="Total Pervious"/>
    <m/>
    <m/>
    <m/>
    <m/>
    <n v="0.09"/>
    <s v="Developed Pervious "/>
    <n v="4"/>
    <n v="0.05"/>
    <n v="3.5"/>
    <n v="79.034999999999997"/>
    <n v="79.034999999999997"/>
    <m/>
    <n v="16.49855625"/>
    <m/>
    <s v="B"/>
    <s v="B"/>
    <n v="2.6468210101603964E-2"/>
    <n v="0.1503548393742431"/>
    <n v="3.0000000000000002E-2"/>
    <n v="0.50354839374243088"/>
    <n v="1.5106451812272928E-2"/>
    <n v="3.9984074045699579E-4"/>
    <n v="0"/>
    <s v="No"/>
    <m/>
    <n v="1"/>
    <n v="3.9984074045699579E-4"/>
    <m/>
    <m/>
    <m/>
    <m/>
    <m/>
    <m/>
    <m/>
    <m/>
    <m/>
    <m/>
    <s v=""/>
    <n v="0"/>
    <s v=""/>
    <s v=""/>
    <s v=""/>
    <s v=""/>
    <m/>
    <m/>
  </r>
  <r>
    <s v="{08D92951-A83C-4C9A-941B-A1EE005B8F2A}"/>
    <s v="Moretown-Middlesex BRS0284(14)"/>
    <s v="VTrans"/>
    <s v="Vtrans TS4"/>
    <m/>
    <m/>
    <n v="0.01"/>
    <n v="0"/>
    <n v="0.27"/>
    <s v="4278-9015"/>
    <s v="S/N 007"/>
    <m/>
    <m/>
    <m/>
    <x v="0"/>
    <m/>
    <x v="1"/>
    <m/>
    <m/>
    <m/>
    <x v="1"/>
    <x v="1"/>
    <s v="Yes"/>
    <x v="3"/>
    <n v="1.23E-2"/>
    <x v="1"/>
    <s v="Total Pervious"/>
    <m/>
    <m/>
    <m/>
    <m/>
    <n v="0.26"/>
    <s v="Developed Pervious "/>
    <m/>
    <m/>
    <m/>
    <m/>
    <m/>
    <n v="0.59"/>
    <n v="0"/>
    <m/>
    <s v="B"/>
    <s v="B"/>
    <n v="8.0783996081147322E-3"/>
    <n v="0"/>
    <s v=""/>
    <s v=""/>
    <s v=""/>
    <s v=""/>
    <n v="4.766255768787692E-3"/>
    <s v="No"/>
    <m/>
    <n v="1"/>
    <n v="4.766255768787692E-3"/>
    <m/>
    <m/>
    <m/>
    <m/>
    <m/>
    <m/>
    <m/>
    <m/>
    <m/>
    <m/>
    <s v=""/>
    <n v="0"/>
    <s v=""/>
    <s v=""/>
    <s v=""/>
    <s v=""/>
    <m/>
    <m/>
  </r>
  <r>
    <s v="{2FB8E7B3-0AEB-4499-B843-6E30385BB950}"/>
    <s v="St. Albans Park &amp; Ride"/>
    <s v="VTrans"/>
    <s v="Vtrans TS4"/>
    <m/>
    <m/>
    <m/>
    <m/>
    <m/>
    <s v="NA"/>
    <s v="NA"/>
    <m/>
    <m/>
    <m/>
    <x v="0"/>
    <m/>
    <x v="1"/>
    <m/>
    <m/>
    <s v="Stevens Brook"/>
    <x v="2"/>
    <x v="2"/>
    <s v="Yes"/>
    <x v="4"/>
    <n v="1.7"/>
    <x v="2"/>
    <s v="Total Pervious"/>
    <m/>
    <m/>
    <m/>
    <m/>
    <n v="1.0000000000000001E-5"/>
    <s v="Developed Pervious "/>
    <m/>
    <m/>
    <m/>
    <m/>
    <m/>
    <m/>
    <n v="0"/>
    <m/>
    <s v="C"/>
    <s v="C"/>
    <n v="1.780767671024627"/>
    <n v="0"/>
    <n v="0.19"/>
    <s v=""/>
    <s v=""/>
    <s v=""/>
    <n v="0"/>
    <s v="No"/>
    <m/>
    <n v="1"/>
    <s v=""/>
    <m/>
    <m/>
    <m/>
    <m/>
    <m/>
    <m/>
    <m/>
    <m/>
    <m/>
    <m/>
    <s v=""/>
    <n v="0"/>
    <s v=""/>
    <s v=""/>
    <s v=""/>
    <s v=""/>
    <m/>
    <s v="Not sure what alternative design they picked."/>
  </r>
  <r>
    <s v="{18D48082-A77A-4BB3-818F-E55A6CF5655B}"/>
    <s v="Waterbury Park and Ride Infiltration Trech"/>
    <s v="VTrans"/>
    <s v="Vtrans TS4"/>
    <m/>
    <m/>
    <n v="0"/>
    <n v="0.74"/>
    <n v="0.74"/>
    <s v="NA"/>
    <s v="NA"/>
    <m/>
    <m/>
    <m/>
    <x v="0"/>
    <m/>
    <x v="1"/>
    <m/>
    <m/>
    <m/>
    <x v="1"/>
    <x v="1"/>
    <s v="Yes"/>
    <x v="5"/>
    <n v="0.74"/>
    <x v="3"/>
    <s v="Total Pervious"/>
    <m/>
    <m/>
    <m/>
    <m/>
    <n v="1.0000000000000001E-5"/>
    <s v="Developed Pervious "/>
    <n v="2"/>
    <n v="0.5"/>
    <n v="3"/>
    <n v="204"/>
    <m/>
    <m/>
    <n v="737.8"/>
    <s v="1.02 in/hr"/>
    <s v="B"/>
    <s v="B"/>
    <n v="0.82639277919718634"/>
    <n v="0.27466279175429964"/>
    <n v="0.26"/>
    <n v="0.37331395877149814"/>
    <n v="0.36706162928058955"/>
    <n v="0.30333707995783371"/>
    <n v="0"/>
    <s v="No"/>
    <m/>
    <n v="1"/>
    <n v="0.30333707995783371"/>
    <m/>
    <m/>
    <m/>
    <m/>
    <m/>
    <m/>
    <m/>
    <m/>
    <m/>
    <m/>
    <s v=""/>
    <n v="0"/>
    <s v=""/>
    <s v=""/>
    <s v=""/>
    <s v=""/>
    <m/>
    <s v="No modeling/data"/>
  </r>
  <r>
    <s v="{EA615B6A-10E5-4D45-B4BF-4F0401FD545E}"/>
    <s v="Cornwall BRS0172(6)"/>
    <s v="VTrans"/>
    <s v="Vtrans TS4"/>
    <m/>
    <m/>
    <n v="0.02"/>
    <n v="0.11"/>
    <m/>
    <s v="5606-INDS"/>
    <s v="S/N 003"/>
    <m/>
    <m/>
    <m/>
    <x v="0"/>
    <m/>
    <x v="2"/>
    <m/>
    <m/>
    <m/>
    <x v="3"/>
    <x v="3"/>
    <s v="Yes"/>
    <x v="1"/>
    <n v="0.13"/>
    <x v="1"/>
    <s v="Total Pervious"/>
    <m/>
    <m/>
    <m/>
    <m/>
    <n v="0.28999999999999998"/>
    <s v="Developed Pervious "/>
    <n v="4"/>
    <n v="0.21"/>
    <n v="4"/>
    <n v="91.86"/>
    <m/>
    <m/>
    <n v="93.366503999999992"/>
    <m/>
    <s v="C"/>
    <s v="C"/>
    <n v="8.9198895703558309E-2"/>
    <n v="0.17652045012797363"/>
    <n v="3.0000000000000002E-2"/>
    <n v="0.76520450127973616"/>
    <n v="2.2956135038392087E-2"/>
    <n v="2.0476618950463362E-3"/>
    <n v="0"/>
    <s v="No"/>
    <m/>
    <n v="1"/>
    <n v="2.0476618950463362E-3"/>
    <m/>
    <m/>
    <m/>
    <m/>
    <m/>
    <m/>
    <m/>
    <m/>
    <m/>
    <m/>
    <s v=""/>
    <n v="0"/>
    <s v=""/>
    <s v=""/>
    <s v=""/>
    <s v=""/>
    <m/>
    <s v="Grass Channel 3"/>
  </r>
  <r>
    <s v="{DF0A3573-C883-4323-9086-29D8910C2DED}"/>
    <s v="Cornwall BRS0172(6)"/>
    <s v="VTrans"/>
    <s v="Vtrans TS4"/>
    <m/>
    <m/>
    <n v="0.26"/>
    <n v="0.5"/>
    <m/>
    <s v="5606-INDS"/>
    <s v="S/N 004"/>
    <m/>
    <m/>
    <m/>
    <x v="0"/>
    <m/>
    <x v="2"/>
    <m/>
    <m/>
    <m/>
    <x v="3"/>
    <x v="3"/>
    <s v="Yes"/>
    <x v="1"/>
    <n v="0.76"/>
    <x v="1"/>
    <s v="Total Pervious"/>
    <m/>
    <m/>
    <m/>
    <m/>
    <n v="0.43"/>
    <s v="Developed Pervious "/>
    <n v="4"/>
    <n v="0.09"/>
    <n v="4"/>
    <n v="72.180000000000007"/>
    <m/>
    <m/>
    <n v="28.323432000000004"/>
    <m/>
    <s v="C"/>
    <s v="C"/>
    <n v="0.5214704671900332"/>
    <n v="1.0217406165634605E-2"/>
    <n v="0.02"/>
    <s v=""/>
    <s v=""/>
    <s v=""/>
    <n v="0"/>
    <s v="No"/>
    <m/>
    <n v="1"/>
    <s v=""/>
    <m/>
    <m/>
    <m/>
    <m/>
    <m/>
    <m/>
    <m/>
    <m/>
    <m/>
    <m/>
    <s v=""/>
    <n v="0"/>
    <s v=""/>
    <s v=""/>
    <s v=""/>
    <s v=""/>
    <m/>
    <s v="Grass Channel 4a"/>
  </r>
  <r>
    <s v="{850F2626-4ABB-46AF-B29F-A2201E6FCFA9}"/>
    <s v="Cornwall BRS0172(6)"/>
    <s v="VTrans"/>
    <s v="Vtrans TS4"/>
    <m/>
    <m/>
    <n v="0.26"/>
    <n v="0.5"/>
    <m/>
    <s v="5606-INDS"/>
    <s v="S/N 004"/>
    <m/>
    <m/>
    <m/>
    <x v="0"/>
    <m/>
    <x v="2"/>
    <m/>
    <m/>
    <m/>
    <x v="3"/>
    <x v="3"/>
    <s v="Yes"/>
    <x v="1"/>
    <n v="0.76"/>
    <x v="1"/>
    <s v="Total Pervious"/>
    <m/>
    <m/>
    <m/>
    <m/>
    <n v="0.43"/>
    <s v="Developed Pervious "/>
    <n v="4"/>
    <n v="0.1"/>
    <n v="4"/>
    <n v="78.739999999999995"/>
    <m/>
    <m/>
    <n v="34.645600000000002"/>
    <m/>
    <s v="C"/>
    <s v="C"/>
    <n v="0.5214704671900332"/>
    <n v="1.2493670304003579E-2"/>
    <n v="0.02"/>
    <s v=""/>
    <s v=""/>
    <s v=""/>
    <n v="0"/>
    <s v="No"/>
    <m/>
    <n v="1"/>
    <s v=""/>
    <m/>
    <m/>
    <m/>
    <m/>
    <m/>
    <m/>
    <m/>
    <m/>
    <m/>
    <m/>
    <s v=""/>
    <n v="0"/>
    <s v=""/>
    <s v=""/>
    <s v=""/>
    <s v=""/>
    <m/>
    <s v="Grass Channel 4b"/>
  </r>
  <r>
    <s v="{D0A52EE8-24B2-471A-8649-09159D479EAE}"/>
    <s v="Cornwall BRS0172(6)"/>
    <s v="VTrans"/>
    <s v="Vtrans TS4"/>
    <m/>
    <m/>
    <n v="0.08"/>
    <n v="0.17"/>
    <m/>
    <s v="5606-INDS"/>
    <s v="S/N 005"/>
    <m/>
    <m/>
    <m/>
    <x v="0"/>
    <m/>
    <x v="2"/>
    <m/>
    <m/>
    <m/>
    <x v="3"/>
    <x v="3"/>
    <s v="Yes"/>
    <x v="1"/>
    <n v="0.25"/>
    <x v="1"/>
    <s v="Total Pervious"/>
    <m/>
    <m/>
    <m/>
    <m/>
    <n v="0.52"/>
    <s v="Developed Pervious "/>
    <n v="4"/>
    <n v="0.18"/>
    <n v="4"/>
    <n v="134.51"/>
    <m/>
    <m/>
    <n v="114.27969599999999"/>
    <m/>
    <s v="C"/>
    <s v="C"/>
    <n v="0.17153633789145828"/>
    <n v="0.11675743131291381"/>
    <n v="3.0000000000000002E-2"/>
    <n v="0.16757431312913809"/>
    <n v="5.0272293938741427E-3"/>
    <n v="8.6235251996546591E-4"/>
    <n v="0"/>
    <s v="No"/>
    <m/>
    <n v="1"/>
    <n v="8.6235251996546591E-4"/>
    <m/>
    <m/>
    <m/>
    <m/>
    <m/>
    <m/>
    <m/>
    <m/>
    <m/>
    <m/>
    <s v=""/>
    <n v="0"/>
    <s v=""/>
    <s v=""/>
    <s v=""/>
    <s v=""/>
    <m/>
    <s v="Grass Channel 5a"/>
  </r>
  <r>
    <s v="{FB75C4B6-9E8F-4865-BBF8-8DA8B2AD7DA9}"/>
    <s v="Cornwall BRS0172(6)"/>
    <s v="VTrans"/>
    <s v="Vtrans TS4"/>
    <m/>
    <m/>
    <n v="0.08"/>
    <n v="0.17"/>
    <m/>
    <s v="5606-INDS"/>
    <s v="S/N 005"/>
    <m/>
    <m/>
    <m/>
    <x v="0"/>
    <m/>
    <x v="2"/>
    <m/>
    <m/>
    <m/>
    <x v="3"/>
    <x v="3"/>
    <s v="Yes"/>
    <x v="1"/>
    <n v="0.25"/>
    <x v="1"/>
    <s v="Total Pervious"/>
    <m/>
    <m/>
    <m/>
    <m/>
    <n v="0.52"/>
    <s v="Developed Pervious "/>
    <n v="4"/>
    <n v="0.05"/>
    <n v="4"/>
    <n v="52.49"/>
    <m/>
    <m/>
    <n v="11.022900000000002"/>
    <m/>
    <s v="C"/>
    <s v="C"/>
    <n v="0.17153633789145828"/>
    <n v="1.1923868994015055E-2"/>
    <n v="0.02"/>
    <s v=""/>
    <s v=""/>
    <s v=""/>
    <n v="0"/>
    <s v="No"/>
    <m/>
    <n v="1"/>
    <s v=""/>
    <m/>
    <m/>
    <m/>
    <m/>
    <m/>
    <m/>
    <m/>
    <m/>
    <m/>
    <m/>
    <s v=""/>
    <n v="0"/>
    <s v=""/>
    <s v=""/>
    <s v=""/>
    <s v=""/>
    <m/>
    <s v="Grass Channel 5b"/>
  </r>
  <r>
    <s v="{33B76283-1CB4-4BDC-9EAA-7473A77F2B0B}"/>
    <s v="Cornwall BRS0172(6)"/>
    <s v="VTrans"/>
    <s v="Vtrans TS4"/>
    <m/>
    <m/>
    <n v="0.03"/>
    <n v="0"/>
    <m/>
    <s v="5606-INDS"/>
    <s v="S/N 006"/>
    <m/>
    <m/>
    <m/>
    <x v="0"/>
    <m/>
    <x v="2"/>
    <m/>
    <m/>
    <m/>
    <x v="3"/>
    <x v="3"/>
    <s v="Yes"/>
    <x v="1"/>
    <n v="0.03"/>
    <x v="1"/>
    <s v="Total Pervious"/>
    <m/>
    <m/>
    <m/>
    <m/>
    <n v="0.45"/>
    <s v="Developed Pervious "/>
    <n v="4"/>
    <n v="0.06"/>
    <n v="4"/>
    <n v="65.61"/>
    <m/>
    <m/>
    <n v="16.691184"/>
    <m/>
    <s v="C"/>
    <s v="C"/>
    <n v="2.0584360546974993E-2"/>
    <n v="0.101841915604441"/>
    <n v="3.0000000000000002E-2"/>
    <n v="1.8419156044409968E-2"/>
    <n v="5.5257468133229908E-4"/>
    <n v="1.1374396469673857E-5"/>
    <n v="0"/>
    <s v="No"/>
    <m/>
    <n v="1"/>
    <n v="1.1374396469673857E-5"/>
    <m/>
    <m/>
    <m/>
    <m/>
    <m/>
    <m/>
    <m/>
    <m/>
    <m/>
    <m/>
    <s v=""/>
    <n v="0"/>
    <s v=""/>
    <s v=""/>
    <s v=""/>
    <s v=""/>
    <m/>
    <s v="Grass Channel 6a"/>
  </r>
  <r>
    <s v="{1CAAC73B-2F51-4EAB-9DE7-4FDFADCD1819}"/>
    <s v="Cornwall BRS0172(6)"/>
    <s v="VTrans"/>
    <s v="Vtrans TS4"/>
    <m/>
    <m/>
    <n v="0.03"/>
    <n v="0"/>
    <m/>
    <s v="5606-INDS"/>
    <s v="S/N 006"/>
    <m/>
    <m/>
    <m/>
    <x v="0"/>
    <m/>
    <x v="2"/>
    <m/>
    <m/>
    <m/>
    <x v="3"/>
    <x v="3"/>
    <s v="Yes"/>
    <x v="1"/>
    <n v="0.03"/>
    <x v="1"/>
    <s v="Total Pervious"/>
    <m/>
    <m/>
    <m/>
    <m/>
    <n v="0.45"/>
    <s v="Developed Pervious "/>
    <n v="4"/>
    <n v="0.13"/>
    <n v="4"/>
    <n v="111.55"/>
    <m/>
    <m/>
    <n v="65.546779999999998"/>
    <m/>
    <s v="C"/>
    <s v="C"/>
    <n v="2.0584360546974993E-2"/>
    <n v="0.27257162640690896"/>
    <n v="3.9999999999999994E-2"/>
    <n v="0.36285813203454476"/>
    <n v="3.4514325281381791E-2"/>
    <n v="7.1045531562753694E-4"/>
    <n v="0"/>
    <s v="No"/>
    <m/>
    <n v="1"/>
    <n v="7.1045531562753694E-4"/>
    <m/>
    <m/>
    <m/>
    <m/>
    <m/>
    <m/>
    <m/>
    <m/>
    <m/>
    <m/>
    <s v=""/>
    <n v="0"/>
    <s v=""/>
    <s v=""/>
    <s v=""/>
    <s v=""/>
    <m/>
    <s v="Grass Channel 6b"/>
  </r>
  <r>
    <s v="{70C779D9-5816-4691-B8C7-5585BF874433}"/>
    <s v="East Montpelier STPG 028-3(35)S US2/ VT14 inter"/>
    <s v="VTrans"/>
    <s v="Vtrans TS4"/>
    <m/>
    <m/>
    <n v="0.72"/>
    <n v="0"/>
    <n v="0.28000000000000003"/>
    <s v="5517-INDS.R"/>
    <s v="S/N 001"/>
    <m/>
    <m/>
    <m/>
    <x v="0"/>
    <m/>
    <x v="2"/>
    <m/>
    <m/>
    <m/>
    <x v="1"/>
    <x v="1"/>
    <s v="Yes"/>
    <x v="1"/>
    <n v="0.20100000000000001"/>
    <x v="2"/>
    <s v="Total Pervious"/>
    <m/>
    <m/>
    <m/>
    <m/>
    <n v="0.08"/>
    <s v="Developed Pervious "/>
    <n v="8"/>
    <n v="0.24"/>
    <n v="3"/>
    <n v="164"/>
    <n v="149"/>
    <m/>
    <n v="343.2192"/>
    <m/>
    <s v="B"/>
    <s v="B"/>
    <n v="0.2046196242470153"/>
    <n v="0.44749979423439179"/>
    <n v="4.0000000000000008E-2"/>
    <n v="0.23749897117195889"/>
    <n v="5.9499958846878365E-2"/>
    <n v="1.2174859221961125E-2"/>
    <n v="0"/>
    <s v="No"/>
    <m/>
    <n v="1"/>
    <n v="1.2174859221961125E-2"/>
    <m/>
    <m/>
    <m/>
    <m/>
    <m/>
    <m/>
    <m/>
    <m/>
    <m/>
    <m/>
    <s v=""/>
    <n v="0"/>
    <s v=""/>
    <s v=""/>
    <s v=""/>
    <s v=""/>
    <m/>
    <s v="Grass Channel 1a"/>
  </r>
  <r>
    <s v="{E75643AF-363A-4417-ABA0-91395DFD85D8}"/>
    <s v="East Montpelier STPG 028-3(35)S US2/ VT14 inter"/>
    <s v="VTrans"/>
    <s v="Vtrans TS4"/>
    <m/>
    <m/>
    <n v="0.72"/>
    <n v="0"/>
    <n v="0.31"/>
    <s v="5517-INDS.R"/>
    <s v="S/N 001"/>
    <m/>
    <m/>
    <m/>
    <x v="0"/>
    <m/>
    <x v="2"/>
    <m/>
    <m/>
    <m/>
    <x v="1"/>
    <x v="1"/>
    <s v="Yes"/>
    <x v="1"/>
    <n v="0.16"/>
    <x v="2"/>
    <s v="Total Pervious"/>
    <m/>
    <m/>
    <m/>
    <m/>
    <n v="0.15"/>
    <s v="Developed Pervious "/>
    <n v="6"/>
    <n v="0.36"/>
    <n v="4"/>
    <n v="151"/>
    <n v="118"/>
    <m/>
    <n v="404.4384"/>
    <m/>
    <s v="D"/>
    <s v="D"/>
    <n v="0.16288129293294748"/>
    <n v="0.6003525347791201"/>
    <n v="4.0000000000000008E-2"/>
    <n v="1.7626738956005854E-3"/>
    <n v="9.0070506955824026E-2"/>
    <n v="1.4670800628090657E-2"/>
    <n v="0"/>
    <s v="No"/>
    <m/>
    <n v="1"/>
    <n v="1.4670800628090657E-2"/>
    <m/>
    <m/>
    <m/>
    <m/>
    <m/>
    <m/>
    <m/>
    <m/>
    <m/>
    <m/>
    <s v=""/>
    <n v="0"/>
    <s v=""/>
    <s v=""/>
    <s v=""/>
    <s v=""/>
    <m/>
    <s v="Grass Channel 1b"/>
  </r>
  <r>
    <s v="{895AA51C-BA2A-464F-BAFF-248726D8D0C5}"/>
    <s v="East Montpelier STPG 028-3(35)S US2/ VT14 inter"/>
    <s v="VTrans"/>
    <s v="Vtrans TS4"/>
    <m/>
    <m/>
    <n v="0.72"/>
    <n v="0"/>
    <n v="0.23"/>
    <s v="5517-INDS.R"/>
    <s v="S/N 001"/>
    <m/>
    <m/>
    <m/>
    <x v="0"/>
    <m/>
    <x v="2"/>
    <m/>
    <m/>
    <m/>
    <x v="1"/>
    <x v="1"/>
    <s v="Yes"/>
    <x v="1"/>
    <n v="0.12"/>
    <x v="2"/>
    <s v="Total Pervious"/>
    <m/>
    <m/>
    <m/>
    <m/>
    <n v="0.11"/>
    <s v="Developed Pervious "/>
    <n v="8"/>
    <n v="0.12"/>
    <n v="3"/>
    <n v="102"/>
    <n v="98"/>
    <m/>
    <n v="102.32639999999999"/>
    <m/>
    <s v="D"/>
    <s v="D"/>
    <n v="0.1221609696997106"/>
    <n v="0.22141221326679753"/>
    <n v="3.9999999999999994E-2"/>
    <n v="0.10706106633398757"/>
    <n v="2.4282442653359503E-2"/>
    <n v="2.9663667412120104E-3"/>
    <n v="0"/>
    <s v="No"/>
    <m/>
    <n v="1"/>
    <n v="2.9663667412120104E-3"/>
    <m/>
    <m/>
    <m/>
    <m/>
    <m/>
    <m/>
    <m/>
    <m/>
    <m/>
    <m/>
    <s v=""/>
    <n v="0"/>
    <s v=""/>
    <s v=""/>
    <s v=""/>
    <s v=""/>
    <m/>
    <s v="Grass Channel 1c"/>
  </r>
  <r>
    <s v="{B3601E46-9A07-4E26-8100-A01EC7D7A7C6}"/>
    <s v="East Montpelier STPG 028-3(35)S US2/ VT14 inter"/>
    <s v="VTrans"/>
    <s v="Vtrans TS4"/>
    <m/>
    <m/>
    <n v="0.72"/>
    <n v="0"/>
    <n v="0.31"/>
    <s v="5517-INDS.R"/>
    <s v="S/N 001"/>
    <m/>
    <m/>
    <m/>
    <x v="0"/>
    <m/>
    <x v="2"/>
    <m/>
    <m/>
    <m/>
    <x v="1"/>
    <x v="1"/>
    <s v="Yes"/>
    <x v="6"/>
    <n v="0.24"/>
    <x v="2"/>
    <s v="Total Pervious"/>
    <m/>
    <m/>
    <m/>
    <m/>
    <n v="7.0000000000000007E-2"/>
    <s v="Developed Pervious "/>
    <n v="8"/>
    <n v="1"/>
    <n v="3"/>
    <n v="67"/>
    <m/>
    <m/>
    <n v="1165"/>
    <m/>
    <s v="D"/>
    <s v="D"/>
    <n v="0.24432193939942121"/>
    <n v="1.2166572286898936"/>
    <n v="4.9999999999999933E-2"/>
    <n v="0.43331445737978713"/>
    <n v="0.50166572286898936"/>
    <n v="0.12256794234156405"/>
    <n v="0"/>
    <s v="No"/>
    <m/>
    <n v="1"/>
    <n v="0.12256794234156405"/>
    <m/>
    <m/>
    <m/>
    <m/>
    <m/>
    <m/>
    <m/>
    <m/>
    <m/>
    <m/>
    <s v=""/>
    <n v="0"/>
    <s v=""/>
    <s v=""/>
    <s v=""/>
    <s v=""/>
    <m/>
    <s v="Dry Swale 1d. "/>
  </r>
  <r>
    <s v="{0E22B21C-E521-4456-93CE-91493921B480}"/>
    <s v="Highgate Franklin County Field Days"/>
    <s v="VTrans"/>
    <s v="Vtrans TS4"/>
    <m/>
    <m/>
    <n v="7.0000000000000007E-2"/>
    <n v="0"/>
    <n v="30.6"/>
    <s v="3065-INDS"/>
    <s v="S/N 001"/>
    <m/>
    <m/>
    <m/>
    <x v="0"/>
    <m/>
    <x v="2"/>
    <m/>
    <m/>
    <m/>
    <x v="4"/>
    <x v="4"/>
    <s v="Yes"/>
    <x v="1"/>
    <n v="2.5"/>
    <x v="0"/>
    <s v="Total Pervious"/>
    <m/>
    <m/>
    <m/>
    <m/>
    <n v="28.1"/>
    <s v="Developed Pervious "/>
    <n v="2"/>
    <n v="1"/>
    <n v="4"/>
    <n v="900"/>
    <m/>
    <m/>
    <n v="5400"/>
    <m/>
    <s v="A"/>
    <s v="A"/>
    <n v="2.0147926619877765"/>
    <n v="0.29932583660982071"/>
    <n v="3.9999999999999994E-2"/>
    <n v="0.49662918304910347"/>
    <n v="3.9865167321964136E-2"/>
    <n v="8.0320046589208244E-2"/>
    <n v="0"/>
    <s v="No"/>
    <m/>
    <n v="1"/>
    <n v="8.0320046589208244E-2"/>
    <m/>
    <m/>
    <m/>
    <m/>
    <m/>
    <m/>
    <m/>
    <m/>
    <m/>
    <m/>
    <s v=""/>
    <n v="0"/>
    <s v=""/>
    <s v=""/>
    <s v=""/>
    <s v=""/>
    <m/>
    <s v="Grass channel credit. No water makes it to the swale in a 1 year storm"/>
  </r>
  <r>
    <s v="{B8619FBD-A5D6-4EB9-AC42-382EAF85324C}"/>
    <s v="Highgate Franklin County Field Days"/>
    <s v="VTrans"/>
    <s v="Vtrans TS4"/>
    <m/>
    <m/>
    <n v="7.0000000000000007E-2"/>
    <n v="0"/>
    <n v="30.6"/>
    <s v="3065-INDS"/>
    <s v="S/N 001"/>
    <m/>
    <m/>
    <m/>
    <x v="0"/>
    <m/>
    <x v="2"/>
    <m/>
    <m/>
    <m/>
    <x v="4"/>
    <x v="4"/>
    <s v="Yes"/>
    <x v="5"/>
    <n v="1.25"/>
    <x v="0"/>
    <s v="Total Pervious"/>
    <m/>
    <m/>
    <m/>
    <m/>
    <n v="29.35"/>
    <s v="Developed Pervious "/>
    <m/>
    <m/>
    <m/>
    <m/>
    <m/>
    <m/>
    <n v="4945"/>
    <s v="2.41 in/hr"/>
    <s v="A"/>
    <s v="A"/>
    <n v="1.0073963309938883"/>
    <n v="0.33249692529910385"/>
    <n v="0.26"/>
    <n v="0.6624846264955192"/>
    <n v="0.50224600288883503"/>
    <n v="0.50596078056655824"/>
    <n v="0"/>
    <s v="No"/>
    <m/>
    <n v="1"/>
    <n v="0.50596078056655824"/>
    <m/>
    <m/>
    <m/>
    <m/>
    <m/>
    <m/>
    <m/>
    <m/>
    <m/>
    <m/>
    <s v=""/>
    <n v="0"/>
    <s v=""/>
    <s v=""/>
    <s v=""/>
    <s v=""/>
    <m/>
    <s v="Not confident on impervious area. No water makes it to the swale in a 1 year storm"/>
  </r>
  <r>
    <s v="{6EEB0781-7338-4180-9E3A-1379A8ADDE93}"/>
    <s v="Milton STP 5800 (2)"/>
    <s v="VTrans"/>
    <s v="Vtrans TS4"/>
    <m/>
    <m/>
    <n v="0.18"/>
    <n v="0"/>
    <n v="0.84"/>
    <s v="6019-9010"/>
    <s v="S/N 001"/>
    <m/>
    <m/>
    <m/>
    <x v="0"/>
    <m/>
    <x v="3"/>
    <m/>
    <m/>
    <m/>
    <x v="5"/>
    <x v="0"/>
    <s v="Yes"/>
    <x v="1"/>
    <n v="0.15"/>
    <x v="1"/>
    <s v="Total Pervious"/>
    <m/>
    <m/>
    <m/>
    <m/>
    <n v="0.69"/>
    <s v="Developed Pervious "/>
    <n v="2"/>
    <n v="0.21"/>
    <n v="3"/>
    <n v="163"/>
    <n v="162"/>
    <m/>
    <n v="90.024899999999988"/>
    <m/>
    <s v="A"/>
    <s v="A"/>
    <n v="0.10005713168690217"/>
    <n v="0.13775337737918819"/>
    <n v="3.0000000000000002E-2"/>
    <n v="0.37753377379188185"/>
    <n v="1.1326013213756456E-2"/>
    <n v="1.1332483956164238E-3"/>
    <n v="0"/>
    <s v="No"/>
    <m/>
    <n v="1"/>
    <n v="1.1332483956164238E-3"/>
    <m/>
    <m/>
    <m/>
    <m/>
    <m/>
    <m/>
    <m/>
    <m/>
    <m/>
    <m/>
    <s v=""/>
    <n v="0"/>
    <s v=""/>
    <s v=""/>
    <s v=""/>
    <s v=""/>
    <m/>
    <s v="Grass Channel 1-A"/>
  </r>
  <r>
    <s v="{276BFE79-CBB7-4318-90F3-4C5BF07F75C2}"/>
    <s v="Milton STP 5800 (2)"/>
    <s v="VTrans"/>
    <s v="Vtrans TS4"/>
    <m/>
    <m/>
    <n v="0.18"/>
    <n v="0"/>
    <m/>
    <s v="6019-9010"/>
    <s v="S/N 001"/>
    <m/>
    <m/>
    <m/>
    <x v="0"/>
    <m/>
    <x v="3"/>
    <m/>
    <m/>
    <m/>
    <x v="5"/>
    <x v="0"/>
    <s v="Yes"/>
    <x v="3"/>
    <n v="4.1000000000000002E-2"/>
    <x v="1"/>
    <s v="Total Pervious"/>
    <m/>
    <m/>
    <m/>
    <m/>
    <n v="0"/>
    <s v="Developed Pervious "/>
    <m/>
    <m/>
    <m/>
    <m/>
    <m/>
    <n v="0.74"/>
    <n v="0"/>
    <m/>
    <s v="A"/>
    <s v="A"/>
    <n v="2.7348949327753259E-2"/>
    <s v=""/>
    <s v=""/>
    <s v=""/>
    <s v=""/>
    <s v=""/>
    <n v="2.0238222502537411E-2"/>
    <s v="No"/>
    <m/>
    <n v="1"/>
    <n v="2.0238222502537411E-2"/>
    <m/>
    <m/>
    <m/>
    <m/>
    <m/>
    <m/>
    <m/>
    <m/>
    <m/>
    <m/>
    <s v=""/>
    <n v="0"/>
    <s v=""/>
    <s v=""/>
    <s v=""/>
    <s v=""/>
    <m/>
    <m/>
  </r>
  <r>
    <s v="{E595B79D-B51E-4BC4-B217-E0798CC694BF}"/>
    <s v="Milton STP 5800 (2)"/>
    <s v="VTrans"/>
    <s v="Vtrans TS4"/>
    <m/>
    <m/>
    <n v="0.08"/>
    <n v="0"/>
    <m/>
    <s v="6019-9010"/>
    <s v="S/N 002"/>
    <m/>
    <m/>
    <m/>
    <x v="0"/>
    <m/>
    <x v="3"/>
    <m/>
    <m/>
    <m/>
    <x v="5"/>
    <x v="0"/>
    <s v="Yes"/>
    <x v="3"/>
    <n v="3.1E-2"/>
    <x v="1"/>
    <s v="Total Pervious"/>
    <m/>
    <m/>
    <m/>
    <m/>
    <n v="0"/>
    <m/>
    <m/>
    <m/>
    <m/>
    <m/>
    <m/>
    <n v="0.74"/>
    <n v="0"/>
    <m/>
    <s v="A"/>
    <s v="A"/>
    <n v="2.0678473881959782E-2"/>
    <s v=""/>
    <s v=""/>
    <s v=""/>
    <s v=""/>
    <s v=""/>
    <n v="1.5302070672650239E-2"/>
    <s v="No"/>
    <m/>
    <n v="1"/>
    <n v="1.5302070672650239E-2"/>
    <m/>
    <m/>
    <m/>
    <m/>
    <m/>
    <m/>
    <m/>
    <m/>
    <m/>
    <m/>
    <s v=""/>
    <n v="0"/>
    <s v=""/>
    <s v=""/>
    <s v=""/>
    <s v=""/>
    <m/>
    <m/>
  </r>
  <r>
    <s v="{9DCFB429-0157-4A08-9331-F9AC03FBA6CD}"/>
    <s v="Milton STP 5800 (2)"/>
    <s v="VTrans"/>
    <s v="Vtrans TS4"/>
    <m/>
    <m/>
    <n v="0.08"/>
    <n v="0"/>
    <n v="0.22"/>
    <s v="6019-9010"/>
    <s v="S/N 002"/>
    <m/>
    <m/>
    <m/>
    <x v="0"/>
    <m/>
    <x v="3"/>
    <m/>
    <m/>
    <m/>
    <x v="5"/>
    <x v="0"/>
    <s v="Yes"/>
    <x v="6"/>
    <n v="0.13500000000000001"/>
    <x v="1"/>
    <s v="Total Pervious"/>
    <m/>
    <m/>
    <m/>
    <m/>
    <n v="0.08"/>
    <s v="Developed Pervious "/>
    <n v="5"/>
    <n v="0.8"/>
    <n v="2.4"/>
    <n v="81"/>
    <m/>
    <m/>
    <n v="691"/>
    <m/>
    <s v="A"/>
    <s v="A"/>
    <n v="9.0051418518211954E-2"/>
    <n v="1.1796358824558848"/>
    <n v="4.9999999999999933E-2"/>
    <n v="0.3592717649117696"/>
    <n v="0.49796358824558845"/>
    <n v="4.4842327491934057E-2"/>
    <n v="0"/>
    <s v="No"/>
    <m/>
    <n v="1"/>
    <n v="4.4842327491934057E-2"/>
    <m/>
    <m/>
    <m/>
    <m/>
    <m/>
    <m/>
    <m/>
    <m/>
    <m/>
    <m/>
    <s v=""/>
    <n v="0"/>
    <s v=""/>
    <s v=""/>
    <s v=""/>
    <s v=""/>
    <m/>
    <m/>
  </r>
  <r>
    <s v="{CF12A766-1B0F-4713-B5B2-637EEBDAF2F3}"/>
    <s v="Pittsford-Brandon Seg 5"/>
    <s v="VTrans"/>
    <s v="Vtrans TS4"/>
    <m/>
    <m/>
    <n v="0.01"/>
    <n v="0.85"/>
    <n v="0.51"/>
    <s v="3628-9015"/>
    <s v="S/N 001"/>
    <m/>
    <m/>
    <m/>
    <x v="0"/>
    <m/>
    <x v="3"/>
    <m/>
    <m/>
    <m/>
    <x v="3"/>
    <x v="3"/>
    <s v="Yes"/>
    <x v="1"/>
    <n v="0.25"/>
    <x v="2"/>
    <s v="Total Pervious"/>
    <m/>
    <m/>
    <m/>
    <m/>
    <n v="0.26"/>
    <s v="Developed Pervious "/>
    <n v="5.6"/>
    <n v="0.26"/>
    <n v="1.5"/>
    <n v="410"/>
    <n v="203"/>
    <m/>
    <n v="638.53399999999999"/>
    <m/>
    <s v="D"/>
    <s v="D"/>
    <n v="0.26467293084021815"/>
    <n v="0.59796126685983531"/>
    <n v="4.0000000000000008E-2"/>
    <n v="0.98980633429917664"/>
    <n v="8.9592253371967079E-2"/>
    <n v="2.3712644280537945E-2"/>
    <n v="0"/>
    <s v="No"/>
    <m/>
    <n v="1"/>
    <n v="2.3712644280537945E-2"/>
    <m/>
    <m/>
    <m/>
    <m/>
    <m/>
    <m/>
    <m/>
    <m/>
    <m/>
    <m/>
    <s v=""/>
    <n v="0"/>
    <s v=""/>
    <s v=""/>
    <s v=""/>
    <s v=""/>
    <m/>
    <s v="Grass Channel 1-A"/>
  </r>
  <r>
    <s v="{11092E92-A7A5-4950-8E67-4D9FC1385A62}"/>
    <s v="Pittsford-Brandon Seg 5"/>
    <s v="VTrans"/>
    <s v="Vtrans TS4"/>
    <m/>
    <m/>
    <n v="0.01"/>
    <n v="0.85"/>
    <n v="0.6"/>
    <s v="3628-9015"/>
    <s v="S/N 001"/>
    <m/>
    <m/>
    <m/>
    <x v="0"/>
    <m/>
    <x v="3"/>
    <m/>
    <m/>
    <m/>
    <x v="3"/>
    <x v="3"/>
    <s v="Yes"/>
    <x v="1"/>
    <n v="0.26"/>
    <x v="2"/>
    <s v="Total Pervious"/>
    <m/>
    <m/>
    <m/>
    <m/>
    <n v="0.34"/>
    <s v="Developed Pervious "/>
    <n v="4.7"/>
    <n v="0.45"/>
    <n v="4"/>
    <n v="315"/>
    <n v="202"/>
    <m/>
    <n v="921.37500000000011"/>
    <m/>
    <s v="D"/>
    <s v="D"/>
    <n v="0.27525984807382686"/>
    <n v="0.76203540485101495"/>
    <n v="4.0000000000000008E-2"/>
    <n v="0.81017702425507465"/>
    <n v="0.12240708097020299"/>
    <n v="3.3693754511018699E-2"/>
    <n v="0"/>
    <s v="No"/>
    <m/>
    <n v="1"/>
    <n v="3.3693754511018699E-2"/>
    <m/>
    <m/>
    <m/>
    <m/>
    <m/>
    <m/>
    <m/>
    <m/>
    <m/>
    <m/>
    <s v=""/>
    <n v="0"/>
    <s v=""/>
    <s v=""/>
    <s v=""/>
    <s v=""/>
    <m/>
    <s v="Grass Channel 1-b"/>
  </r>
  <r>
    <s v="{22798933-0A9E-45D2-9B5C-48056AAECBA9}"/>
    <s v="Pittsford-Brandon Seg 5"/>
    <s v="VTrans"/>
    <s v="Vtrans TS4"/>
    <m/>
    <m/>
    <n v="0.03"/>
    <n v="0.71"/>
    <n v="0.48"/>
    <s v="3628-9015"/>
    <s v="S/N 002"/>
    <m/>
    <m/>
    <m/>
    <x v="0"/>
    <m/>
    <x v="3"/>
    <m/>
    <m/>
    <m/>
    <x v="3"/>
    <x v="3"/>
    <s v="Yes"/>
    <x v="1"/>
    <n v="0.22"/>
    <x v="2"/>
    <s v="Total Pervious"/>
    <m/>
    <m/>
    <m/>
    <m/>
    <n v="0.26"/>
    <s v="Developed Pervious "/>
    <n v="4.7"/>
    <n v="0.39"/>
    <n v="4"/>
    <n v="197"/>
    <n v="152"/>
    <m/>
    <n v="480.95579999999995"/>
    <m/>
    <s v="D"/>
    <s v="D"/>
    <n v="0.23291217913939197"/>
    <n v="0.51328915823967947"/>
    <n v="4.0000000000000008E-2"/>
    <n v="0.56644579119839733"/>
    <n v="7.2657831647935905E-2"/>
    <n v="1.692289390066383E-2"/>
    <n v="0"/>
    <s v="No"/>
    <m/>
    <n v="1"/>
    <n v="1.692289390066383E-2"/>
    <m/>
    <m/>
    <m/>
    <m/>
    <m/>
    <m/>
    <m/>
    <m/>
    <m/>
    <m/>
    <s v=""/>
    <n v="0"/>
    <s v=""/>
    <s v=""/>
    <s v=""/>
    <s v=""/>
    <m/>
    <s v="Grass Channel 2-a"/>
  </r>
  <r>
    <s v="{6963136D-20CF-4FCF-83FD-BD6C827D45A0}"/>
    <s v="Pittsford-Brandon Seg 5"/>
    <s v="VTrans"/>
    <s v="Vtrans TS4"/>
    <m/>
    <m/>
    <n v="0.1"/>
    <n v="0.73"/>
    <n v="0.28000000000000003"/>
    <s v="3628-9015"/>
    <s v="S/N 003"/>
    <m/>
    <m/>
    <m/>
    <x v="0"/>
    <m/>
    <x v="3"/>
    <m/>
    <m/>
    <m/>
    <x v="3"/>
    <x v="3"/>
    <s v="Yes"/>
    <x v="1"/>
    <n v="0.2"/>
    <x v="1"/>
    <s v="Total Pervious"/>
    <m/>
    <m/>
    <m/>
    <m/>
    <n v="0.08"/>
    <s v="Developed Pervious "/>
    <n v="4.7"/>
    <n v="0.26"/>
    <n v="4"/>
    <n v="230"/>
    <n v="225"/>
    <m/>
    <n v="343.25200000000007"/>
    <m/>
    <s v="D"/>
    <s v="D"/>
    <n v="0.13722907031316664"/>
    <n v="0.44957342061656674"/>
    <n v="4.0000000000000008E-2"/>
    <n v="0.24786710308283366"/>
    <n v="5.9914684123313355E-2"/>
    <n v="8.2220364003493373E-3"/>
    <n v="0"/>
    <s v="No"/>
    <m/>
    <n v="1"/>
    <n v="8.2220364003493373E-3"/>
    <m/>
    <m/>
    <m/>
    <m/>
    <m/>
    <m/>
    <m/>
    <m/>
    <m/>
    <m/>
    <s v=""/>
    <n v="0"/>
    <s v=""/>
    <s v=""/>
    <s v=""/>
    <s v=""/>
    <m/>
    <s v="Grass Channel 3-a"/>
  </r>
  <r>
    <s v="{F1F19005-FDB4-4897-988E-6AD2A2887488}"/>
    <s v="Pittsford-Brandon Seg 5"/>
    <s v="VTrans"/>
    <s v="Vtrans TS4"/>
    <m/>
    <m/>
    <n v="0.1"/>
    <n v="0.73"/>
    <n v="0.19"/>
    <s v="3628-9015"/>
    <s v="S/N 003"/>
    <m/>
    <m/>
    <m/>
    <x v="0"/>
    <m/>
    <x v="3"/>
    <m/>
    <m/>
    <m/>
    <x v="3"/>
    <x v="3"/>
    <s v="Yes"/>
    <x v="1"/>
    <n v="0.12"/>
    <x v="1"/>
    <s v="Total Pervious"/>
    <m/>
    <m/>
    <m/>
    <m/>
    <n v="7.0000000000000007E-2"/>
    <s v="Developed Pervious "/>
    <n v="4.7"/>
    <n v="0.18"/>
    <n v="4"/>
    <n v="213"/>
    <n v="207"/>
    <m/>
    <n v="207.80279999999999"/>
    <m/>
    <s v="D"/>
    <s v="D"/>
    <n v="8.233744218789997E-2"/>
    <n v="0.44399597158217952"/>
    <n v="4.0000000000000008E-2"/>
    <n v="0.21997985791089752"/>
    <n v="5.8799194316435904E-2"/>
    <n v="4.8413752627246374E-3"/>
    <n v="0"/>
    <s v="No"/>
    <m/>
    <n v="1"/>
    <n v="4.8413752627246374E-3"/>
    <m/>
    <m/>
    <m/>
    <m/>
    <m/>
    <m/>
    <m/>
    <m/>
    <m/>
    <m/>
    <s v=""/>
    <n v="0"/>
    <s v=""/>
    <s v=""/>
    <s v=""/>
    <s v=""/>
    <m/>
    <s v="Grass Channel 3-b"/>
  </r>
  <r>
    <m/>
    <s v="Pittsford-Brandon Seg 5"/>
    <s v="VTrans"/>
    <s v="Vtrans TS4"/>
    <m/>
    <m/>
    <n v="0.23"/>
    <n v="1.81"/>
    <n v="0.08"/>
    <s v="3628-9015"/>
    <s v="S/N 004"/>
    <m/>
    <m/>
    <m/>
    <x v="0"/>
    <m/>
    <x v="3"/>
    <m/>
    <m/>
    <m/>
    <x v="3"/>
    <x v="3"/>
    <s v="Yes"/>
    <x v="1"/>
    <n v="0.03"/>
    <x v="2"/>
    <s v="Total Pervious"/>
    <m/>
    <m/>
    <m/>
    <m/>
    <n v="0.05"/>
    <s v="Developed Pervious "/>
    <n v="4.7"/>
    <n v="0.23"/>
    <n v="4"/>
    <n v="131"/>
    <n v="78"/>
    <m/>
    <n v="169.3306"/>
    <m/>
    <s v="D"/>
    <s v="D"/>
    <n v="3.1760751700826179E-2"/>
    <n v="1.0451054549484589"/>
    <n v="7.9999999999999988E-2"/>
    <n v="9.0210909896917713E-2"/>
    <n v="0.17721687279175344"/>
    <n v="5.6285410939357792E-3"/>
    <n v="0"/>
    <s v="No"/>
    <m/>
    <n v="1"/>
    <n v="5.6285410939357792E-3"/>
    <m/>
    <m/>
    <m/>
    <m/>
    <m/>
    <m/>
    <m/>
    <m/>
    <m/>
    <m/>
    <s v=""/>
    <n v="0"/>
    <s v=""/>
    <s v=""/>
    <s v=""/>
    <s v=""/>
    <m/>
    <s v="Grass Channel 4-a. Add to map"/>
  </r>
  <r>
    <s v="{EFCE915F-FBC3-474E-802D-525F1921D8E0}"/>
    <s v="Pittsford-Brandon Seg 5"/>
    <s v="VTrans"/>
    <s v="Vtrans TS4"/>
    <m/>
    <m/>
    <n v="0.23"/>
    <n v="1.81"/>
    <n v="0.64"/>
    <s v="3628-9015"/>
    <s v="S/N 004"/>
    <m/>
    <m/>
    <m/>
    <x v="0"/>
    <m/>
    <x v="3"/>
    <m/>
    <m/>
    <m/>
    <x v="3"/>
    <x v="3"/>
    <s v="Yes"/>
    <x v="1"/>
    <n v="0.46"/>
    <x v="2"/>
    <s v="Total Pervious"/>
    <m/>
    <m/>
    <m/>
    <m/>
    <n v="0.18"/>
    <s v="Developed Pervious "/>
    <n v="4.7"/>
    <n v="0.45"/>
    <n v="4"/>
    <n v="262"/>
    <n v="251"/>
    <m/>
    <n v="766.35"/>
    <m/>
    <s v="D"/>
    <s v="D"/>
    <n v="0.48699819274600142"/>
    <n v="0.43741274408138825"/>
    <n v="4.0000000000000008E-2"/>
    <n v="0.18706372040694116"/>
    <n v="5.7482548816277651E-2"/>
    <n v="2.7993897387961021E-2"/>
    <n v="0"/>
    <s v="No"/>
    <m/>
    <n v="1"/>
    <n v="2.7993897387961021E-2"/>
    <m/>
    <m/>
    <m/>
    <m/>
    <m/>
    <m/>
    <m/>
    <m/>
    <m/>
    <m/>
    <s v=""/>
    <n v="0"/>
    <s v=""/>
    <s v=""/>
    <s v=""/>
    <s v=""/>
    <m/>
    <s v="Grass Channel 4-b."/>
  </r>
  <r>
    <s v="{8E07C15F-A654-45F5-8F11-196E854B9E43}"/>
    <s v="Pittsford-Brandon Seg 5"/>
    <s v="VTrans"/>
    <s v="Vtrans TS4"/>
    <m/>
    <m/>
    <n v="0.23"/>
    <n v="1.81"/>
    <n v="0.08"/>
    <s v="3628-9015"/>
    <s v="S/N 004"/>
    <m/>
    <m/>
    <m/>
    <x v="0"/>
    <m/>
    <x v="3"/>
    <m/>
    <m/>
    <m/>
    <x v="3"/>
    <x v="3"/>
    <s v="Yes"/>
    <x v="1"/>
    <n v="0.03"/>
    <x v="2"/>
    <s v="Total Pervious"/>
    <m/>
    <m/>
    <m/>
    <m/>
    <n v="0.05"/>
    <s v="Developed Pervious "/>
    <n v="4.7"/>
    <n v="0.48"/>
    <n v="4"/>
    <n v="121"/>
    <n v="103"/>
    <m/>
    <n v="384.4896"/>
    <m/>
    <s v="D"/>
    <s v="D"/>
    <n v="3.1760751700826179E-2"/>
    <n v="1.8855727350047893"/>
    <n v="7.0000000000000007E-2"/>
    <n v="0.77114547000957856"/>
    <n v="0.26398018290067049"/>
    <n v="8.3842090430468752E-3"/>
    <n v="0"/>
    <s v="No"/>
    <m/>
    <n v="1"/>
    <n v="8.3842090430468752E-3"/>
    <m/>
    <m/>
    <m/>
    <m/>
    <m/>
    <m/>
    <m/>
    <m/>
    <m/>
    <m/>
    <s v=""/>
    <n v="0"/>
    <s v=""/>
    <s v=""/>
    <s v=""/>
    <s v=""/>
    <m/>
    <s v="Grass Channel 4-c"/>
  </r>
  <r>
    <s v="{669AAC9F-877F-48FD-9C6B-80F130370096}"/>
    <s v="Pittsford-Brandon Seg 5"/>
    <s v="VTrans"/>
    <s v="Vtrans TS4"/>
    <m/>
    <m/>
    <n v="0.23"/>
    <n v="1.81"/>
    <n v="0.33"/>
    <s v="3628-9015"/>
    <s v="S/N 004"/>
    <m/>
    <m/>
    <m/>
    <x v="0"/>
    <m/>
    <x v="3"/>
    <m/>
    <m/>
    <m/>
    <x v="3"/>
    <x v="3"/>
    <s v="Yes"/>
    <x v="1"/>
    <n v="0.21"/>
    <x v="2"/>
    <s v="Total Pervious"/>
    <m/>
    <m/>
    <m/>
    <m/>
    <n v="0.12"/>
    <s v="Developed Pervious "/>
    <n v="4.7"/>
    <n v="0.21"/>
    <n v="4"/>
    <n v="285"/>
    <n v="220"/>
    <m/>
    <n v="331.56900000000002"/>
    <m/>
    <s v="D"/>
    <s v="D"/>
    <n v="0.22232526190578322"/>
    <n v="0.40756612203382198"/>
    <n v="4.0000000000000008E-2"/>
    <n v="3.7830610169109775E-2"/>
    <n v="5.1513224406764396E-2"/>
    <n v="1.1452691107845279E-2"/>
    <n v="0"/>
    <s v="No"/>
    <m/>
    <n v="1"/>
    <n v="1.1452691107845279E-2"/>
    <m/>
    <m/>
    <m/>
    <m/>
    <m/>
    <m/>
    <m/>
    <m/>
    <m/>
    <m/>
    <s v=""/>
    <n v="0"/>
    <s v=""/>
    <s v=""/>
    <s v=""/>
    <s v=""/>
    <m/>
    <s v="Grass Channel 4-d"/>
  </r>
  <r>
    <m/>
    <s v="Pittsford-Brandon Seg 5"/>
    <s v="VTrans"/>
    <s v="Vtrans TS4"/>
    <m/>
    <m/>
    <n v="0.23"/>
    <n v="1.81"/>
    <n v="0.1"/>
    <s v="3628-9015"/>
    <s v="S/N 004"/>
    <m/>
    <m/>
    <m/>
    <x v="0"/>
    <m/>
    <x v="3"/>
    <m/>
    <m/>
    <m/>
    <x v="3"/>
    <x v="3"/>
    <s v="Yes"/>
    <x v="1"/>
    <n v="0.05"/>
    <x v="2"/>
    <s v="Total Pervious"/>
    <m/>
    <m/>
    <m/>
    <m/>
    <n v="0.05"/>
    <s v="Developed Pervious "/>
    <n v="4.7"/>
    <n v="0.12"/>
    <n v="4"/>
    <n v="115"/>
    <n v="115"/>
    <m/>
    <n v="71.483999999999995"/>
    <m/>
    <s v="D"/>
    <s v="D"/>
    <n v="5.2934586168043633E-2"/>
    <n v="0.35684925333888939"/>
    <n v="3.9999999999999994E-2"/>
    <n v="0.78424626669444686"/>
    <n v="5.1369850667777869E-2"/>
    <n v="2.7192417866130215E-3"/>
    <n v="0"/>
    <s v="No"/>
    <m/>
    <n v="1"/>
    <n v="2.7192417866130215E-3"/>
    <m/>
    <m/>
    <m/>
    <m/>
    <m/>
    <m/>
    <m/>
    <m/>
    <m/>
    <m/>
    <s v=""/>
    <n v="0"/>
    <s v=""/>
    <s v=""/>
    <s v=""/>
    <s v=""/>
    <m/>
    <s v="Grass Channel 4-e. Add to map"/>
  </r>
  <r>
    <m/>
    <s v="Pittsford-Brandon Seg 5"/>
    <s v="VTrans"/>
    <s v="Vtrans TS4"/>
    <m/>
    <m/>
    <n v="0.06"/>
    <n v="0.48"/>
    <n v="0.37"/>
    <s v="3628-9015"/>
    <s v="S/N 005"/>
    <m/>
    <m/>
    <m/>
    <x v="0"/>
    <m/>
    <x v="3"/>
    <m/>
    <m/>
    <m/>
    <x v="3"/>
    <x v="3"/>
    <s v="Yes"/>
    <x v="1"/>
    <n v="0.23"/>
    <x v="1"/>
    <s v="Total Pervious"/>
    <m/>
    <m/>
    <m/>
    <m/>
    <n v="0.14000000000000001"/>
    <s v="Developed Pervious "/>
    <n v="4.7"/>
    <n v="0.12"/>
    <n v="4"/>
    <n v="305"/>
    <n v="120"/>
    <m/>
    <n v="189.58799999999997"/>
    <m/>
    <s v="B"/>
    <s v="B"/>
    <n v="0.15781343086014163"/>
    <n v="0.21835190621715642"/>
    <n v="3.9999999999999994E-2"/>
    <n v="9.1759531085782026E-2"/>
    <n v="2.3670381243431279E-2"/>
    <n v="3.7355040737934355E-3"/>
    <n v="0"/>
    <s v="No"/>
    <m/>
    <n v="1"/>
    <n v="3.7355040737934355E-3"/>
    <m/>
    <m/>
    <m/>
    <m/>
    <m/>
    <m/>
    <m/>
    <m/>
    <m/>
    <m/>
    <s v=""/>
    <n v="0"/>
    <s v=""/>
    <s v=""/>
    <s v=""/>
    <s v=""/>
    <m/>
    <s v="Grass Channel 5-a. Combine swales in map to have one global ID"/>
  </r>
  <r>
    <s v="{F9FBADF0-2D9A-4EB1-95AA-B2F67BF6F136}"/>
    <s v="Pittsford-Brandon Seg 5"/>
    <s v="VTrans"/>
    <s v="Vtrans TS4"/>
    <m/>
    <m/>
    <n v="0.49"/>
    <n v="1.1599999999999999"/>
    <n v="0.61"/>
    <s v="3628-9015"/>
    <s v="S/N 006"/>
    <m/>
    <m/>
    <m/>
    <x v="0"/>
    <m/>
    <x v="3"/>
    <m/>
    <m/>
    <m/>
    <x v="3"/>
    <x v="3"/>
    <s v="Yes"/>
    <x v="1"/>
    <n v="0.34"/>
    <x v="4"/>
    <s v="Total Pervious"/>
    <m/>
    <m/>
    <m/>
    <m/>
    <n v="0.27"/>
    <s v="Developed Pervious "/>
    <n v="4.7"/>
    <n v="0.14000000000000001"/>
    <n v="4"/>
    <n v="755"/>
    <n v="223"/>
    <m/>
    <n v="555.98200000000008"/>
    <m/>
    <s v="B"/>
    <s v="B"/>
    <n v="0.16894987266727785"/>
    <n v="0.41166184822931917"/>
    <n v="4.0000000000000008E-2"/>
    <n v="5.8309241146595761E-2"/>
    <n v="5.2332369645863831E-2"/>
    <n v="8.8415471880456103E-3"/>
    <n v="0"/>
    <s v="No"/>
    <m/>
    <n v="1"/>
    <n v="8.8415471880456103E-3"/>
    <m/>
    <m/>
    <m/>
    <m/>
    <m/>
    <m/>
    <m/>
    <m/>
    <m/>
    <m/>
    <s v=""/>
    <n v="0"/>
    <s v=""/>
    <s v=""/>
    <s v=""/>
    <s v=""/>
    <m/>
    <s v="Grass Channel 6-a"/>
  </r>
  <r>
    <s v="{B086A4BD-4EE6-42B9-88E5-873D0C764DB7}"/>
    <s v="Pittsford-Brandon Seg 5"/>
    <s v="VTrans"/>
    <s v="Vtrans TS4"/>
    <m/>
    <m/>
    <n v="0.49"/>
    <n v="1.1599999999999999"/>
    <n v="0.19"/>
    <s v="3628-9015"/>
    <s v="S/N 006"/>
    <m/>
    <m/>
    <m/>
    <x v="0"/>
    <m/>
    <x v="3"/>
    <m/>
    <m/>
    <m/>
    <x v="3"/>
    <x v="3"/>
    <s v="Yes"/>
    <x v="1"/>
    <n v="0.11"/>
    <x v="4"/>
    <s v="Total Pervious"/>
    <m/>
    <m/>
    <m/>
    <m/>
    <n v="0.08"/>
    <s v="Developed Pervious "/>
    <n v="4.7"/>
    <n v="0.14000000000000001"/>
    <n v="4"/>
    <n v="197"/>
    <n v="176"/>
    <m/>
    <n v="145.07080000000002"/>
    <m/>
    <s v="B"/>
    <s v="B"/>
    <n v="5.4660252921766357E-2"/>
    <n v="0.33896201966777567"/>
    <n v="3.9999999999999994E-2"/>
    <n v="0.6948100983388783"/>
    <n v="4.7792403933555133E-2"/>
    <n v="2.6123448867473448E-3"/>
    <n v="0"/>
    <s v="No"/>
    <m/>
    <n v="1"/>
    <n v="2.6123448867473448E-3"/>
    <m/>
    <m/>
    <m/>
    <m/>
    <m/>
    <m/>
    <m/>
    <m/>
    <m/>
    <m/>
    <s v=""/>
    <n v="0"/>
    <s v=""/>
    <s v=""/>
    <s v=""/>
    <s v=""/>
    <m/>
    <s v="Grass Channel 6-b."/>
  </r>
  <r>
    <s v="{CA12EEF1-A2C1-4A9F-A118-6D4CACB0E801}"/>
    <s v="Pittsford-Brandon Seg 5"/>
    <s v="VTrans"/>
    <s v="Vtrans TS4"/>
    <m/>
    <m/>
    <n v="0.49"/>
    <n v="1.1599999999999999"/>
    <n v="0.36"/>
    <s v="3628-9015"/>
    <s v="S/N 006"/>
    <m/>
    <m/>
    <m/>
    <x v="0"/>
    <m/>
    <x v="3"/>
    <m/>
    <m/>
    <m/>
    <x v="3"/>
    <x v="3"/>
    <s v="Yes"/>
    <x v="1"/>
    <n v="0.22"/>
    <x v="1"/>
    <s v="Total Pervious"/>
    <m/>
    <m/>
    <m/>
    <m/>
    <n v="0.14000000000000001"/>
    <s v="Developed Pervious "/>
    <n v="4.7"/>
    <n v="0.57999999999999996"/>
    <n v="4"/>
    <n v="358"/>
    <n v="193"/>
    <m/>
    <n v="1457.6327999999996"/>
    <m/>
    <s v="B"/>
    <s v="B"/>
    <n v="0.15095197734448329"/>
    <n v="1.4517033960836274"/>
    <n v="7.9999999999999988E-2"/>
    <n v="0.90340679216725484"/>
    <n v="0.24227254337338039"/>
    <n v="3.6571519478488863E-2"/>
    <n v="0"/>
    <s v="No"/>
    <m/>
    <n v="1"/>
    <n v="3.6571519478488863E-2"/>
    <m/>
    <m/>
    <m/>
    <m/>
    <m/>
    <m/>
    <m/>
    <m/>
    <m/>
    <m/>
    <s v=""/>
    <n v="0"/>
    <s v=""/>
    <s v=""/>
    <s v=""/>
    <s v=""/>
    <m/>
    <s v="Grass Channel 6-c"/>
  </r>
  <r>
    <s v="{613FC778-206E-4E16-ACF1-78929F8C6E8F}"/>
    <s v="Pittsford-Brandon Seg 5"/>
    <s v="VTrans"/>
    <s v="Vtrans TS4"/>
    <m/>
    <m/>
    <n v="0.49"/>
    <n v="1.1599999999999999"/>
    <n v="0.39"/>
    <s v="3628-9015"/>
    <s v="S/N 006"/>
    <m/>
    <m/>
    <m/>
    <x v="0"/>
    <m/>
    <x v="3"/>
    <m/>
    <m/>
    <m/>
    <x v="3"/>
    <x v="3"/>
    <s v="Yes"/>
    <x v="1"/>
    <n v="0.26"/>
    <x v="1"/>
    <s v="Total Pervious"/>
    <m/>
    <m/>
    <m/>
    <m/>
    <n v="0.13"/>
    <s v="Developed Pervious "/>
    <n v="4.7"/>
    <n v="0.61"/>
    <n v="4"/>
    <n v="341"/>
    <n v="199"/>
    <m/>
    <n v="1485.1914000000002"/>
    <m/>
    <s v="B"/>
    <s v="B"/>
    <n v="0.17839779140711662"/>
    <n v="1.3277839013384307"/>
    <n v="7.9999999999999988E-2"/>
    <n v="0.65556780267686143"/>
    <n v="0.22244542421414892"/>
    <n v="3.9683772388423307E-2"/>
    <n v="0"/>
    <s v="No"/>
    <m/>
    <n v="1"/>
    <n v="3.9683772388423307E-2"/>
    <m/>
    <m/>
    <m/>
    <m/>
    <m/>
    <m/>
    <m/>
    <m/>
    <m/>
    <m/>
    <s v=""/>
    <n v="0"/>
    <s v=""/>
    <s v=""/>
    <s v=""/>
    <s v=""/>
    <m/>
    <s v="Grass Channel 6-d"/>
  </r>
  <r>
    <s v="{E225E511-7F8E-4C7F-BB9A-463079DD7491}"/>
    <s v="Pittsford-Brandon Seg 5"/>
    <s v="VTrans"/>
    <s v="Vtrans TS4"/>
    <m/>
    <m/>
    <n v="0.49"/>
    <n v="1.1599999999999999"/>
    <n v="0.11"/>
    <s v="3628-9015"/>
    <s v="S/N 006"/>
    <m/>
    <m/>
    <m/>
    <x v="0"/>
    <m/>
    <x v="3"/>
    <m/>
    <m/>
    <m/>
    <x v="3"/>
    <x v="3"/>
    <s v="Yes"/>
    <x v="1"/>
    <n v="0.04"/>
    <x v="1"/>
    <s v="Total Pervious"/>
    <m/>
    <m/>
    <m/>
    <m/>
    <n v="7.0000000000000007E-2"/>
    <s v="Developed Pervious "/>
    <n v="4.7"/>
    <n v="7.0000000000000007E-2"/>
    <n v="4"/>
    <n v="197"/>
    <n v="67"/>
    <m/>
    <n v="68.674200000000013"/>
    <m/>
    <s v="B"/>
    <s v="B"/>
    <n v="2.7445814062633325E-2"/>
    <n v="0.39431250040580651"/>
    <n v="3.9999999999999994E-2"/>
    <n v="0.97156250202903249"/>
    <n v="5.8862500081161298E-2"/>
    <n v="1.615529232489292E-3"/>
    <n v="0"/>
    <s v="No"/>
    <m/>
    <n v="1"/>
    <n v="1.615529232489292E-3"/>
    <m/>
    <m/>
    <m/>
    <m/>
    <m/>
    <m/>
    <m/>
    <m/>
    <m/>
    <m/>
    <s v=""/>
    <n v="0"/>
    <s v=""/>
    <s v=""/>
    <s v=""/>
    <s v=""/>
    <m/>
    <s v="Grass Channel 6-e"/>
  </r>
  <r>
    <s v="{01146D14-E634-4D2C-B368-8D2776F3806E}"/>
    <s v="Pittsford-Brandon Seg 5"/>
    <s v="VTrans"/>
    <s v="Vtrans TS4"/>
    <m/>
    <m/>
    <n v="0.38"/>
    <n v="1.1599999999999999"/>
    <n v="0.36"/>
    <s v="3628-9015"/>
    <s v="S/N 007"/>
    <m/>
    <m/>
    <m/>
    <x v="0"/>
    <m/>
    <x v="3"/>
    <m/>
    <m/>
    <m/>
    <x v="3"/>
    <x v="3"/>
    <s v="Yes"/>
    <x v="1"/>
    <n v="0.23"/>
    <x v="2"/>
    <s v="Total Pervious"/>
    <m/>
    <m/>
    <m/>
    <m/>
    <n v="0.13"/>
    <s v="Developed Pervious "/>
    <n v="4.7"/>
    <n v="0.42"/>
    <n v="4"/>
    <n v="328"/>
    <n v="190"/>
    <m/>
    <n v="878.90879999999993"/>
    <m/>
    <s v="B"/>
    <s v="B"/>
    <n v="0.24349909637300071"/>
    <n v="0.91874191807200534"/>
    <n v="3.999999999999998E-2"/>
    <n v="0.59370959036002657"/>
    <n v="0.15374838361440105"/>
    <n v="3.7437592478916121E-2"/>
    <n v="0"/>
    <s v="No"/>
    <m/>
    <n v="1"/>
    <n v="3.7437592478916121E-2"/>
    <m/>
    <m/>
    <m/>
    <m/>
    <m/>
    <m/>
    <m/>
    <m/>
    <m/>
    <m/>
    <s v=""/>
    <n v="0"/>
    <s v=""/>
    <s v=""/>
    <s v=""/>
    <s v=""/>
    <m/>
    <s v="Grass Channel 7-a"/>
  </r>
  <r>
    <s v="{6479D655-7C54-4986-95F2-7D243013B5A1}"/>
    <s v="Pittsford-Brandon Seg 5"/>
    <s v="VTrans"/>
    <s v="Vtrans TS4"/>
    <m/>
    <m/>
    <n v="0.38"/>
    <n v="1.1599999999999999"/>
    <n v="0.17"/>
    <s v="3628-9015"/>
    <s v="S/N 007"/>
    <m/>
    <m/>
    <m/>
    <x v="0"/>
    <m/>
    <x v="3"/>
    <m/>
    <m/>
    <m/>
    <x v="3"/>
    <x v="3"/>
    <s v="Yes"/>
    <x v="1"/>
    <n v="0.09"/>
    <x v="2"/>
    <s v="Total Pervious"/>
    <m/>
    <m/>
    <m/>
    <m/>
    <n v="0.08"/>
    <s v="Developed Pervious "/>
    <n v="4.7"/>
    <n v="0.36"/>
    <n v="4"/>
    <n v="217"/>
    <n v="124"/>
    <m/>
    <n v="479.65679999999998"/>
    <m/>
    <s v="A"/>
    <s v="A"/>
    <n v="9.5282255102478536E-2"/>
    <n v="1.1433239922898599"/>
    <n v="7.9999999999999988E-2"/>
    <n v="0.28664798457971985"/>
    <n v="0.19293183876637759"/>
    <n v="1.8382980678728247E-2"/>
    <n v="0"/>
    <s v="No"/>
    <m/>
    <n v="1"/>
    <n v="1.8382980678728247E-2"/>
    <m/>
    <m/>
    <m/>
    <m/>
    <m/>
    <m/>
    <m/>
    <m/>
    <m/>
    <m/>
    <s v=""/>
    <n v="0"/>
    <s v=""/>
    <s v=""/>
    <s v=""/>
    <s v=""/>
    <m/>
    <s v="Grass Channel 7-b"/>
  </r>
  <r>
    <s v="{DB7EEB8B-3B8F-4DD0-BF30-1D5EE498EA04}"/>
    <s v="Pittsford-Brandon Seg 5"/>
    <s v="VTrans"/>
    <s v="Vtrans TS4"/>
    <m/>
    <m/>
    <n v="0.38"/>
    <n v="1.1599999999999999"/>
    <n v="0.27"/>
    <s v="3628-9015"/>
    <s v="S/N 007"/>
    <m/>
    <m/>
    <m/>
    <x v="0"/>
    <m/>
    <x v="3"/>
    <m/>
    <m/>
    <m/>
    <x v="3"/>
    <x v="3"/>
    <s v="Yes"/>
    <x v="1"/>
    <n v="0.15"/>
    <x v="2"/>
    <s v="Total Pervious"/>
    <m/>
    <m/>
    <m/>
    <m/>
    <n v="0.12"/>
    <s v="Developed Pervious "/>
    <n v="4.7"/>
    <n v="0.35"/>
    <n v="4"/>
    <n v="276"/>
    <n v="114"/>
    <m/>
    <n v="589.26"/>
    <m/>
    <s v="A"/>
    <s v="A"/>
    <n v="0.15880375850413089"/>
    <n v="0.90011361123683453"/>
    <n v="3.999999999999998E-2"/>
    <n v="0.50056805618417255"/>
    <n v="0.1500227222473669"/>
    <n v="2.3824172153903159E-2"/>
    <n v="0"/>
    <s v="No"/>
    <m/>
    <n v="1"/>
    <n v="2.3824172153903159E-2"/>
    <m/>
    <m/>
    <m/>
    <m/>
    <m/>
    <m/>
    <m/>
    <m/>
    <m/>
    <m/>
    <s v=""/>
    <n v="0"/>
    <s v=""/>
    <s v=""/>
    <s v=""/>
    <s v=""/>
    <m/>
    <s v="Grass Channel 7-c"/>
  </r>
  <r>
    <s v="{745FD608-4135-4A27-91EB-D79F6C559B68}"/>
    <s v="Pittsford-Brandon Seg 5"/>
    <s v="VTrans"/>
    <s v="Vtrans TS4"/>
    <m/>
    <m/>
    <n v="0.38"/>
    <n v="1.1599999999999999"/>
    <n v="0.22"/>
    <s v="3628-9015"/>
    <s v="S/N 007"/>
    <m/>
    <m/>
    <m/>
    <x v="0"/>
    <m/>
    <x v="3"/>
    <m/>
    <m/>
    <m/>
    <x v="3"/>
    <x v="3"/>
    <s v="Yes"/>
    <x v="1"/>
    <n v="0.12"/>
    <x v="2"/>
    <s v="Total Pervious"/>
    <m/>
    <m/>
    <m/>
    <m/>
    <n v="0.1"/>
    <s v="Developed Pervious "/>
    <n v="4.7"/>
    <n v="0.11"/>
    <n v="4"/>
    <n v="243"/>
    <n v="118"/>
    <m/>
    <n v="137.3922"/>
    <m/>
    <s v="A"/>
    <s v="A"/>
    <n v="0.12704300680330471"/>
    <n v="0.29420463662589802"/>
    <n v="3.9999999999999994E-2"/>
    <n v="0.47102318312949004"/>
    <n v="3.8840927325179603E-2"/>
    <n v="4.9344681944194562E-3"/>
    <n v="0"/>
    <s v="No"/>
    <m/>
    <n v="1"/>
    <n v="4.9344681944194562E-3"/>
    <m/>
    <m/>
    <m/>
    <m/>
    <m/>
    <m/>
    <m/>
    <m/>
    <m/>
    <m/>
    <s v=""/>
    <n v="0"/>
    <s v=""/>
    <s v=""/>
    <s v=""/>
    <s v=""/>
    <m/>
    <s v="Grass Channel 7-d"/>
  </r>
  <r>
    <s v="{E3601B9A-886F-42C5-97E9-A5E46266FA78}"/>
    <s v="Pittsford-Brandon Seg 5"/>
    <s v="VTrans"/>
    <s v="Vtrans TS4"/>
    <m/>
    <m/>
    <n v="0.3"/>
    <n v="0.76"/>
    <n v="0.24"/>
    <s v="3628-9015"/>
    <s v="S/N 009"/>
    <m/>
    <m/>
    <m/>
    <x v="0"/>
    <m/>
    <x v="3"/>
    <m/>
    <m/>
    <m/>
    <x v="3"/>
    <x v="3"/>
    <s v="Yes"/>
    <x v="1"/>
    <n v="0.13"/>
    <x v="1"/>
    <s v="Total Pervious"/>
    <m/>
    <m/>
    <m/>
    <m/>
    <n v="0.11"/>
    <s v="Developed Pervious "/>
    <n v="4.7"/>
    <n v="0.23"/>
    <n v="4"/>
    <n v="262"/>
    <n v="188"/>
    <m/>
    <n v="338.66120000000001"/>
    <m/>
    <s v="A"/>
    <s v="A"/>
    <n v="8.9198895703558309E-2"/>
    <n v="0.62413281776926688"/>
    <n v="4.0000000000000008E-2"/>
    <n v="0.12066408884633446"/>
    <n v="9.4826563553853382E-2"/>
    <n v="8.4584247523670116E-3"/>
    <n v="0"/>
    <s v="No"/>
    <m/>
    <n v="1"/>
    <n v="8.4584247523670116E-3"/>
    <m/>
    <m/>
    <m/>
    <m/>
    <m/>
    <m/>
    <m/>
    <m/>
    <m/>
    <m/>
    <s v=""/>
    <n v="0"/>
    <s v=""/>
    <s v=""/>
    <s v=""/>
    <s v=""/>
    <m/>
    <s v="Grass Channel 9-a"/>
  </r>
  <r>
    <s v="{7948D2F1-2AC5-46D0-9766-99D975D7C80A}"/>
    <s v="Pittsford-Brandon Seg 5"/>
    <s v="VTrans"/>
    <s v="Vtrans TS4"/>
    <m/>
    <m/>
    <n v="0.3"/>
    <n v="0.76"/>
    <n v="0.32"/>
    <s v="3628-9015"/>
    <s v="S/N 009"/>
    <m/>
    <m/>
    <m/>
    <x v="0"/>
    <m/>
    <x v="3"/>
    <m/>
    <m/>
    <m/>
    <x v="3"/>
    <x v="3"/>
    <s v="Yes"/>
    <x v="1"/>
    <n v="0.22"/>
    <x v="1"/>
    <s v="Total Pervious"/>
    <m/>
    <m/>
    <m/>
    <m/>
    <n v="0.1"/>
    <s v="Developed Pervious "/>
    <n v="4.7"/>
    <n v="0.32"/>
    <n v="4"/>
    <n v="377"/>
    <n v="180"/>
    <m/>
    <n v="721.42720000000008"/>
    <m/>
    <s v="A"/>
    <s v="A"/>
    <n v="0.15095197734448329"/>
    <n v="0.81777351337632054"/>
    <n v="3.999999999999998E-2"/>
    <n v="8.8867566881602481E-2"/>
    <n v="0.13355470267526409"/>
    <n v="2.0160346452485666E-2"/>
    <n v="0"/>
    <s v="No"/>
    <m/>
    <n v="1"/>
    <n v="2.0160346452485666E-2"/>
    <m/>
    <m/>
    <m/>
    <m/>
    <m/>
    <m/>
    <m/>
    <m/>
    <m/>
    <m/>
    <s v=""/>
    <n v="0"/>
    <s v=""/>
    <s v=""/>
    <s v=""/>
    <s v=""/>
    <m/>
    <s v="Grass Channel 9-b"/>
  </r>
  <r>
    <s v="{5E066616-F8D4-44BC-AE16-CD4BEF1C51B4}"/>
    <s v="Pittsford-Brandon Seg 5"/>
    <s v="VTrans"/>
    <s v="Vtrans TS4"/>
    <m/>
    <m/>
    <n v="0.3"/>
    <n v="0.76"/>
    <n v="0.2"/>
    <s v="3628-9015"/>
    <s v="S/N 009"/>
    <m/>
    <m/>
    <m/>
    <x v="0"/>
    <m/>
    <x v="3"/>
    <m/>
    <m/>
    <m/>
    <x v="3"/>
    <x v="3"/>
    <s v="Yes"/>
    <x v="1"/>
    <n v="0.12"/>
    <x v="2"/>
    <s v="Total Pervious"/>
    <m/>
    <m/>
    <m/>
    <m/>
    <n v="0.08"/>
    <s v="Developed Pervious "/>
    <n v="4.7"/>
    <n v="0.4"/>
    <n v="4"/>
    <n v="197"/>
    <n v="182"/>
    <m/>
    <n v="496.44000000000011"/>
    <m/>
    <s v="A"/>
    <s v="A"/>
    <n v="0.12704300680330471"/>
    <n v="0.96538768703040845"/>
    <n v="3.999999999999998E-2"/>
    <n v="0.82693843515204224"/>
    <n v="0.16307753740608166"/>
    <n v="2.0717860694147012E-2"/>
    <n v="0"/>
    <s v="No"/>
    <m/>
    <n v="1"/>
    <n v="2.0717860694147012E-2"/>
    <m/>
    <m/>
    <m/>
    <m/>
    <m/>
    <m/>
    <m/>
    <m/>
    <m/>
    <m/>
    <s v=""/>
    <n v="0"/>
    <s v=""/>
    <s v=""/>
    <s v=""/>
    <s v=""/>
    <m/>
    <s v="Grass Channel 9-c"/>
  </r>
  <r>
    <s v="{5E171EA8-6B68-4A04-B3EB-439E1459C4F6}"/>
    <s v="Pittsford-Brandon Seg 5"/>
    <s v="VTrans"/>
    <s v="Vtrans TS4"/>
    <m/>
    <m/>
    <n v="0.51"/>
    <n v="1.2"/>
    <n v="0.3"/>
    <s v="3628-9015"/>
    <s v="S/N 011"/>
    <m/>
    <m/>
    <m/>
    <x v="0"/>
    <m/>
    <x v="3"/>
    <m/>
    <m/>
    <m/>
    <x v="3"/>
    <x v="3"/>
    <s v="Yes"/>
    <x v="1"/>
    <n v="0.2"/>
    <x v="4"/>
    <s v="Total Pervious"/>
    <m/>
    <m/>
    <m/>
    <m/>
    <n v="0.1"/>
    <s v="Developed Pervious "/>
    <n v="4.7"/>
    <n v="0.33"/>
    <n v="4"/>
    <n v="387"/>
    <n v="221"/>
    <m/>
    <n v="768.81420000000003"/>
    <m/>
    <s v="D"/>
    <s v="D"/>
    <n v="9.9382278039575209E-2"/>
    <n v="0.93601360963518665"/>
    <n v="3.999999999999998E-2"/>
    <n v="0.68006804817593314"/>
    <n v="0.15720272192703733"/>
    <n v="1.5623164619130849E-2"/>
    <n v="0"/>
    <s v="No"/>
    <m/>
    <n v="1"/>
    <n v="1.5623164619130849E-2"/>
    <m/>
    <m/>
    <m/>
    <m/>
    <m/>
    <m/>
    <m/>
    <m/>
    <m/>
    <m/>
    <s v=""/>
    <n v="0"/>
    <s v=""/>
    <s v=""/>
    <s v=""/>
    <s v=""/>
    <m/>
    <s v="Grass Channel 11-a"/>
  </r>
  <r>
    <m/>
    <s v="Pittsford-Brandon Seg 5"/>
    <s v="VTrans"/>
    <s v="Vtrans TS4"/>
    <m/>
    <m/>
    <n v="0.51"/>
    <n v="1.2"/>
    <n v="0.95"/>
    <s v="3628-9015"/>
    <s v="S/N 011"/>
    <m/>
    <m/>
    <m/>
    <x v="0"/>
    <m/>
    <x v="3"/>
    <m/>
    <m/>
    <m/>
    <x v="3"/>
    <x v="3"/>
    <s v="Yes"/>
    <x v="1"/>
    <n v="0.7"/>
    <x v="4"/>
    <s v="Total Pervious"/>
    <m/>
    <m/>
    <m/>
    <m/>
    <n v="0.25"/>
    <s v="Developed Pervious "/>
    <n v="4.7"/>
    <n v="0.76"/>
    <n v="3"/>
    <n v="197"/>
    <n v="190"/>
    <m/>
    <n v="1045.0455999999999"/>
    <m/>
    <s v="D"/>
    <s v="D"/>
    <n v="0.34783797313851317"/>
    <n v="0.39515530422335227"/>
    <n v="3.9999999999999994E-2"/>
    <n v="0.97577652111676128"/>
    <n v="5.9031060844670441E-2"/>
    <n v="2.0533244556426414E-2"/>
    <n v="0"/>
    <s v="No"/>
    <m/>
    <n v="1"/>
    <n v="2.0533244556426414E-2"/>
    <m/>
    <m/>
    <m/>
    <m/>
    <m/>
    <m/>
    <m/>
    <m/>
    <m/>
    <m/>
    <s v=""/>
    <n v="0"/>
    <s v=""/>
    <s v=""/>
    <s v=""/>
    <s v=""/>
    <m/>
    <s v="Grass Channel 11-b. Add to map"/>
  </r>
  <r>
    <s v="{C35D66AE-4F7C-48C4-BA2F-F04FB43198EA}"/>
    <s v="Pittsford-Brandon Seg 5"/>
    <s v="VTrans"/>
    <s v="Vtrans TS4"/>
    <m/>
    <m/>
    <n v="0.51"/>
    <n v="1.2"/>
    <n v="0.13"/>
    <s v="3628-9015"/>
    <s v="S/N 011"/>
    <m/>
    <m/>
    <m/>
    <x v="0"/>
    <m/>
    <x v="3"/>
    <m/>
    <m/>
    <m/>
    <x v="3"/>
    <x v="3"/>
    <s v="Yes"/>
    <x v="1"/>
    <n v="0.08"/>
    <x v="4"/>
    <s v="Total Pervious"/>
    <m/>
    <m/>
    <m/>
    <m/>
    <n v="0.05"/>
    <s v="Developed Pervious "/>
    <n v="4.7"/>
    <n v="0.25"/>
    <n v="4"/>
    <n v="262"/>
    <n v="163"/>
    <m/>
    <n v="373.35"/>
    <m/>
    <s v="D"/>
    <s v="D"/>
    <n v="3.9752911215830078E-2"/>
    <n v="1.081171063601263"/>
    <n v="7.9999999999999988E-2"/>
    <n v="0.16234212720252605"/>
    <n v="0.18298737017620209"/>
    <n v="7.2742806802327947E-3"/>
    <n v="0"/>
    <s v="No"/>
    <m/>
    <n v="1"/>
    <n v="7.2742806802327947E-3"/>
    <m/>
    <m/>
    <m/>
    <m/>
    <m/>
    <m/>
    <m/>
    <m/>
    <m/>
    <m/>
    <s v=""/>
    <n v="0"/>
    <s v=""/>
    <s v=""/>
    <s v=""/>
    <s v=""/>
    <m/>
    <s v="Grass Channel 11-c"/>
  </r>
  <r>
    <m/>
    <s v="Cabot-Danville FEGC F028-3(26) C1"/>
    <s v="VTrans"/>
    <s v="Vtrans TS4"/>
    <m/>
    <m/>
    <n v="0.05"/>
    <n v="0.23"/>
    <n v="5.03"/>
    <s v="4022-INDS.R"/>
    <s v="S/N 100+00"/>
    <m/>
    <m/>
    <m/>
    <x v="0"/>
    <m/>
    <x v="4"/>
    <m/>
    <m/>
    <m/>
    <x v="1"/>
    <x v="1"/>
    <s v="Yes"/>
    <x v="1"/>
    <n v="0.14000000000000001"/>
    <x v="1"/>
    <s v="Total Pervious"/>
    <m/>
    <m/>
    <m/>
    <m/>
    <n v="4.8899999999999997"/>
    <s v="Developed Pervious "/>
    <n v="4"/>
    <n v="0.25"/>
    <n v="4"/>
    <n v="300"/>
    <m/>
    <m/>
    <n v="375"/>
    <m/>
    <s v="D"/>
    <s v="D"/>
    <n v="9.1949263832200201E-2"/>
    <n v="0.22181634534300082"/>
    <n v="3.9999999999999994E-2"/>
    <n v="0.10908172671500405"/>
    <n v="2.436326906860016E-2"/>
    <n v="2.2401846554035987E-3"/>
    <n v="0"/>
    <s v="No"/>
    <m/>
    <n v="1"/>
    <n v="2.2401846554035987E-3"/>
    <m/>
    <m/>
    <m/>
    <m/>
    <m/>
    <m/>
    <m/>
    <m/>
    <m/>
    <m/>
    <s v=""/>
    <n v="0"/>
    <s v=""/>
    <s v=""/>
    <s v=""/>
    <s v=""/>
    <m/>
    <s v="GC 100-103. Mapping: Split swale with below swale"/>
  </r>
  <r>
    <m/>
    <s v="Cabot-Danville FEGC F028-3(26) C1"/>
    <s v="VTrans"/>
    <s v="Vtrans TS4"/>
    <m/>
    <m/>
    <n v="0.34"/>
    <n v="0.39"/>
    <n v="7.08"/>
    <s v="4022-INDS.R"/>
    <s v="S/N 108+00"/>
    <m/>
    <m/>
    <m/>
    <x v="0"/>
    <m/>
    <x v="4"/>
    <m/>
    <m/>
    <m/>
    <x v="1"/>
    <x v="1"/>
    <s v="Yes"/>
    <x v="1"/>
    <n v="0.33"/>
    <x v="1"/>
    <s v="Total Pervious"/>
    <m/>
    <m/>
    <m/>
    <m/>
    <n v="6.75"/>
    <s v="Developed Pervious "/>
    <n v="4"/>
    <n v="0.43"/>
    <n v="4"/>
    <n v="500"/>
    <m/>
    <m/>
    <n v="1229.8"/>
    <m/>
    <s v="D"/>
    <s v="D"/>
    <n v="0.21673755046161478"/>
    <n v="0.33953071730948203"/>
    <n v="3.9999999999999994E-2"/>
    <n v="0.69765358654741005"/>
    <n v="4.7906143461896394E-2"/>
    <n v="1.0383060185994126E-2"/>
    <n v="0"/>
    <s v="No"/>
    <m/>
    <n v="1"/>
    <n v="1.0383060185994126E-2"/>
    <m/>
    <m/>
    <m/>
    <m/>
    <m/>
    <m/>
    <m/>
    <m/>
    <m/>
    <m/>
    <s v=""/>
    <n v="0"/>
    <s v=""/>
    <s v=""/>
    <s v=""/>
    <s v=""/>
    <m/>
    <s v="GC 103-108. Mapping: Split swale with above swale"/>
  </r>
  <r>
    <m/>
    <s v="Cabot-Danville FEGC F028-3(26) C1"/>
    <s v="VTrans"/>
    <s v="Vtrans TS4"/>
    <m/>
    <m/>
    <n v="0.34"/>
    <n v="0.39"/>
    <n v="3.58"/>
    <s v="4022-INDS.R"/>
    <s v="S/N 108+00"/>
    <m/>
    <m/>
    <m/>
    <x v="0"/>
    <m/>
    <x v="4"/>
    <m/>
    <m/>
    <m/>
    <x v="1"/>
    <x v="1"/>
    <s v="Yes"/>
    <x v="1"/>
    <n v="0.22"/>
    <x v="2"/>
    <s v="Total Pervious"/>
    <m/>
    <m/>
    <m/>
    <m/>
    <n v="3.36"/>
    <s v="Developed Pervious "/>
    <n v="4"/>
    <n v="0.3"/>
    <n v="4"/>
    <n v="300"/>
    <m/>
    <m/>
    <n v="468"/>
    <m/>
    <s v="D"/>
    <s v="D"/>
    <n v="0.2239617777828028"/>
    <n v="0.26603799777652942"/>
    <n v="3.9999999999999994E-2"/>
    <n v="0.33018998888264706"/>
    <n v="3.3207599555305882E-2"/>
    <n v="7.4372330323057168E-3"/>
    <n v="0"/>
    <s v="No"/>
    <m/>
    <n v="1"/>
    <n v="7.4372330323057168E-3"/>
    <m/>
    <m/>
    <m/>
    <m/>
    <m/>
    <m/>
    <m/>
    <m/>
    <m/>
    <m/>
    <s v=""/>
    <n v="0"/>
    <s v=""/>
    <s v=""/>
    <s v=""/>
    <s v=""/>
    <m/>
    <s v="GC 108-111. Mapping: Split swale with above swale"/>
  </r>
  <r>
    <s v="{15DE9D14-3B6D-48E7-82E4-26B73A7AAA8E}"/>
    <s v="Cabot-Danville FEGC F028-3(26) C1"/>
    <s v="VTrans"/>
    <s v="Vtrans TS4"/>
    <m/>
    <m/>
    <n v="0.1"/>
    <n v="0.18"/>
    <n v="0.74"/>
    <s v="4022-INDS.R"/>
    <s v="S/N 111+50"/>
    <m/>
    <m/>
    <m/>
    <x v="0"/>
    <m/>
    <x v="4"/>
    <m/>
    <m/>
    <m/>
    <x v="1"/>
    <x v="1"/>
    <s v="Yes"/>
    <x v="1"/>
    <n v="0.04"/>
    <x v="2"/>
    <s v="Total Pervious"/>
    <m/>
    <m/>
    <m/>
    <m/>
    <n v="0.7"/>
    <s v="Developed Pervious "/>
    <n v="4"/>
    <n v="0.15"/>
    <n v="4"/>
    <n v="250"/>
    <m/>
    <m/>
    <n v="172.5"/>
    <m/>
    <s v="D"/>
    <s v="D"/>
    <n v="4.072032323323687E-2"/>
    <n v="0.39578311274146905"/>
    <n v="3.9999999999999994E-2"/>
    <n v="0.97891556370734512"/>
    <n v="5.9156622548293805E-2"/>
    <n v="2.4088767915531125E-3"/>
    <n v="0"/>
    <s v="No"/>
    <m/>
    <n v="1"/>
    <n v="2.4088767915531125E-3"/>
    <m/>
    <m/>
    <m/>
    <m/>
    <m/>
    <m/>
    <m/>
    <m/>
    <m/>
    <m/>
    <s v=""/>
    <n v="0"/>
    <s v=""/>
    <s v=""/>
    <s v=""/>
    <s v=""/>
    <m/>
    <s v="GC 111+50-114. Mapping: Grass swale looks long"/>
  </r>
  <r>
    <m/>
    <s v="Cabot-Danville FEGC F028-3(26) C1"/>
    <s v="VTrans"/>
    <s v="Vtrans TS4"/>
    <m/>
    <m/>
    <n v="0.49"/>
    <n v="0.03"/>
    <n v="0.54"/>
    <s v="4022-INDS.R"/>
    <s v="S/N 119+00"/>
    <m/>
    <m/>
    <m/>
    <x v="0"/>
    <m/>
    <x v="4"/>
    <m/>
    <m/>
    <m/>
    <x v="1"/>
    <x v="1"/>
    <s v="Yes"/>
    <x v="1"/>
    <n v="0.17"/>
    <x v="2"/>
    <s v="Total Pervious"/>
    <m/>
    <m/>
    <m/>
    <m/>
    <n v="0.37"/>
    <s v="Developed Pervious "/>
    <n v="6"/>
    <n v="0.19"/>
    <n v="4"/>
    <n v="200"/>
    <m/>
    <m/>
    <n v="256.88"/>
    <m/>
    <s v="D"/>
    <s v="D"/>
    <n v="0.17306137374125671"/>
    <n v="0.34208602951255268"/>
    <n v="3.9999999999999994E-2"/>
    <n v="0.71043014756276335"/>
    <n v="4.8417205902510529E-2"/>
    <n v="8.3791481662017549E-3"/>
    <n v="0"/>
    <s v="No"/>
    <m/>
    <n v="1"/>
    <n v="8.3791481662017549E-3"/>
    <m/>
    <m/>
    <m/>
    <m/>
    <m/>
    <m/>
    <m/>
    <m/>
    <m/>
    <m/>
    <s v=""/>
    <n v="0"/>
    <s v=""/>
    <s v=""/>
    <s v=""/>
    <s v=""/>
    <m/>
    <s v="GC 119 -121. Mapping: Split swale with below"/>
  </r>
  <r>
    <m/>
    <s v="Cabot-Danville FEGC F028-3(26) C1"/>
    <s v="VTrans"/>
    <s v="Vtrans TS4"/>
    <m/>
    <m/>
    <n v="0.59"/>
    <n v="0.1"/>
    <n v="0.14000000000000001"/>
    <s v="4022-INDS.R"/>
    <s v="S/N 121+67L"/>
    <m/>
    <m/>
    <m/>
    <x v="0"/>
    <m/>
    <x v="4"/>
    <m/>
    <m/>
    <m/>
    <x v="1"/>
    <x v="1"/>
    <s v="Yes"/>
    <x v="1"/>
    <n v="0.01"/>
    <x v="2"/>
    <s v="Total Pervious"/>
    <m/>
    <m/>
    <m/>
    <m/>
    <n v="0.13"/>
    <s v="Developed Pervious "/>
    <n v="6"/>
    <n v="0.08"/>
    <n v="4"/>
    <n v="67"/>
    <m/>
    <m/>
    <n v="33.875200000000007"/>
    <m/>
    <s v="D"/>
    <s v="D"/>
    <n v="1.0180080808309218E-2"/>
    <n v="0.38251939537284407"/>
    <n v="3.9999999999999994E-2"/>
    <n v="0.91259697686422026"/>
    <n v="5.6503879074568802E-2"/>
    <n v="5.7521405496204262E-4"/>
    <n v="0"/>
    <s v="No"/>
    <m/>
    <n v="1"/>
    <n v="5.7521405496204262E-4"/>
    <m/>
    <m/>
    <m/>
    <m/>
    <m/>
    <m/>
    <m/>
    <m/>
    <m/>
    <m/>
    <s v=""/>
    <n v="0"/>
    <s v=""/>
    <s v=""/>
    <s v=""/>
    <s v=""/>
    <m/>
    <s v="GC 121-121+67. Mapping: Split with swale above and below"/>
  </r>
  <r>
    <m/>
    <s v="Cabot-Danville FEGC F028-3(26) C1"/>
    <s v="VTrans"/>
    <s v="Vtrans TS4"/>
    <m/>
    <m/>
    <n v="0.59"/>
    <n v="0.1"/>
    <n v="2.0099999999999998"/>
    <s v="4022-INDS.R"/>
    <s v="S/N 121+67L"/>
    <m/>
    <m/>
    <m/>
    <x v="0"/>
    <m/>
    <x v="4"/>
    <m/>
    <m/>
    <m/>
    <x v="1"/>
    <x v="1"/>
    <s v="Yes"/>
    <x v="1"/>
    <n v="0.67"/>
    <x v="2"/>
    <s v="Total Pervious"/>
    <m/>
    <m/>
    <m/>
    <m/>
    <n v="1.34"/>
    <s v="Developed Pervious "/>
    <n v="4"/>
    <n v="0.36"/>
    <n v="4"/>
    <n v="933"/>
    <m/>
    <m/>
    <n v="1827.1871999999996"/>
    <m/>
    <s v="D"/>
    <s v="D"/>
    <n v="0.68206541415671762"/>
    <n v="0.56776720006754511"/>
    <n v="4.0000000000000008E-2"/>
    <n v="0.83883600033772565"/>
    <n v="8.3553440013509034E-2"/>
    <n v="5.6988911667032502E-2"/>
    <n v="0"/>
    <s v="No"/>
    <m/>
    <n v="1"/>
    <n v="5.6988911667032502E-2"/>
    <m/>
    <m/>
    <m/>
    <m/>
    <m/>
    <m/>
    <m/>
    <m/>
    <m/>
    <m/>
    <s v=""/>
    <n v="0"/>
    <s v=""/>
    <s v=""/>
    <s v=""/>
    <s v=""/>
    <m/>
    <s v="GC 121+67-131. Mapping: split with above. "/>
  </r>
  <r>
    <m/>
    <s v="Cabot-Danville FEGC F028-3(26) C1"/>
    <s v="VTrans"/>
    <s v="Vtrans TS4"/>
    <m/>
    <m/>
    <n v="0.31"/>
    <n v="0"/>
    <n v="0.14000000000000001"/>
    <s v="4022-INDS.R"/>
    <s v="S/N 131+93"/>
    <m/>
    <m/>
    <m/>
    <x v="0"/>
    <m/>
    <x v="4"/>
    <m/>
    <m/>
    <m/>
    <x v="1"/>
    <x v="1"/>
    <s v="Yes"/>
    <x v="1"/>
    <n v="0.04"/>
    <x v="2"/>
    <s v="Total Pervious"/>
    <m/>
    <m/>
    <m/>
    <m/>
    <n v="0.1"/>
    <s v="Developed Pervious "/>
    <n v="6"/>
    <n v="0.11"/>
    <n v="4"/>
    <n v="93"/>
    <m/>
    <m/>
    <n v="65.881200000000007"/>
    <m/>
    <s v="D"/>
    <s v="D"/>
    <n v="4.072032323323687E-2"/>
    <n v="0.35975262720534074"/>
    <n v="3.9999999999999994E-2"/>
    <n v="0.79876313602670357"/>
    <n v="5.1950525441068138E-2"/>
    <n v="2.1154421880967898E-3"/>
    <n v="0"/>
    <s v="No"/>
    <m/>
    <n v="1"/>
    <n v="2.1154421880967898E-3"/>
    <m/>
    <m/>
    <m/>
    <m/>
    <m/>
    <m/>
    <m/>
    <m/>
    <m/>
    <m/>
    <s v=""/>
    <n v="0"/>
    <s v=""/>
    <s v=""/>
    <s v=""/>
    <s v=""/>
    <m/>
    <s v="GC131-131+93. Mapping: split with below. "/>
  </r>
  <r>
    <m/>
    <s v="Cabot-Danville FEGC F028-3(26) C1"/>
    <s v="VTrans"/>
    <s v="Vtrans TS4"/>
    <m/>
    <m/>
    <n v="0.31"/>
    <n v="0"/>
    <n v="0.7"/>
    <s v="4022-INDS.R"/>
    <s v="S/N 131+93"/>
    <m/>
    <m/>
    <m/>
    <x v="0"/>
    <m/>
    <x v="4"/>
    <m/>
    <m/>
    <m/>
    <x v="1"/>
    <x v="1"/>
    <s v="Yes"/>
    <x v="1"/>
    <n v="0.27"/>
    <x v="2"/>
    <s v="Total Pervious"/>
    <m/>
    <m/>
    <m/>
    <m/>
    <n v="0.43"/>
    <s v="Developed Pervious "/>
    <n v="4"/>
    <n v="0.25"/>
    <n v="4"/>
    <n v="407"/>
    <m/>
    <m/>
    <n v="508.75"/>
    <m/>
    <s v="D"/>
    <s v="D"/>
    <n v="0.27486218182434891"/>
    <n v="0.43311183293428923"/>
    <n v="4.0000000000000008E-2"/>
    <n v="0.16555916467144607"/>
    <n v="5.6622366586857847E-2"/>
    <n v="1.556334722012186E-2"/>
    <n v="0"/>
    <s v="No"/>
    <m/>
    <n v="1"/>
    <n v="1.556334722012186E-2"/>
    <m/>
    <m/>
    <m/>
    <m/>
    <m/>
    <m/>
    <m/>
    <m/>
    <m/>
    <m/>
    <s v=""/>
    <n v="0"/>
    <s v=""/>
    <s v=""/>
    <s v=""/>
    <s v=""/>
    <m/>
    <s v="GC131+93-136. Mapping: split with above and below"/>
  </r>
  <r>
    <m/>
    <s v="Cabot-Danville FEGC F028-3(26) C1"/>
    <s v="VTrans"/>
    <s v="Vtrans TS4"/>
    <m/>
    <m/>
    <n v="0.72"/>
    <n v="0.18"/>
    <n v="0.21"/>
    <s v="4022-INDS.R"/>
    <s v="S/N 137+00"/>
    <m/>
    <m/>
    <m/>
    <x v="0"/>
    <m/>
    <x v="4"/>
    <m/>
    <m/>
    <m/>
    <x v="1"/>
    <x v="1"/>
    <s v="Yes"/>
    <x v="1"/>
    <n v="0.1"/>
    <x v="2"/>
    <s v="Total Pervious"/>
    <m/>
    <m/>
    <m/>
    <m/>
    <n v="0.11"/>
    <s v="Developed Pervious "/>
    <n v="6"/>
    <n v="0.21"/>
    <n v="4"/>
    <n v="100"/>
    <m/>
    <m/>
    <n v="143.63999999999999"/>
    <m/>
    <s v="D"/>
    <s v="D"/>
    <n v="0.10180080808309218"/>
    <n v="0.35533544107107218"/>
    <n v="3.9999999999999994E-2"/>
    <n v="0.77667720535536078"/>
    <n v="5.1067088214214428E-2"/>
    <n v="5.1986708466575816E-3"/>
    <n v="0"/>
    <s v="No"/>
    <m/>
    <n v="1"/>
    <n v="5.1986708466575816E-3"/>
    <m/>
    <m/>
    <m/>
    <m/>
    <m/>
    <m/>
    <m/>
    <m/>
    <m/>
    <m/>
    <s v=""/>
    <n v="0"/>
    <s v=""/>
    <s v=""/>
    <s v=""/>
    <s v=""/>
    <m/>
    <s v="GC136-137. Mapping: split with above and below"/>
  </r>
  <r>
    <m/>
    <s v="Cabot-Danville FEGC F028-3(26) C1"/>
    <s v="VTrans"/>
    <s v="Vtrans TS4"/>
    <m/>
    <m/>
    <n v="0.72"/>
    <n v="0.18"/>
    <n v="2.72"/>
    <s v="4022-INDS.R"/>
    <s v="S/N 137+00"/>
    <m/>
    <m/>
    <m/>
    <x v="0"/>
    <m/>
    <x v="4"/>
    <m/>
    <m/>
    <m/>
    <x v="1"/>
    <x v="1"/>
    <s v="Yes"/>
    <x v="1"/>
    <n v="0.69"/>
    <x v="2"/>
    <s v="Total Pervious"/>
    <m/>
    <m/>
    <m/>
    <m/>
    <n v="2.0299999999999998"/>
    <s v="Developed Pervious "/>
    <n v="8"/>
    <n v="0.26"/>
    <n v="4"/>
    <n v="700"/>
    <m/>
    <m/>
    <n v="1645.28"/>
    <m/>
    <s v="D"/>
    <s v="D"/>
    <n v="0.70242557577333598"/>
    <n v="0.470300844995451"/>
    <n v="4.0000000000000008E-2"/>
    <n v="0.35150422497725492"/>
    <n v="6.40601689990902E-2"/>
    <n v="4.4997501093323143E-2"/>
    <n v="0"/>
    <s v="No"/>
    <m/>
    <n v="1"/>
    <n v="4.4997501093323143E-2"/>
    <m/>
    <m/>
    <m/>
    <m/>
    <m/>
    <m/>
    <m/>
    <m/>
    <m/>
    <m/>
    <s v=""/>
    <n v="0"/>
    <s v=""/>
    <s v=""/>
    <s v=""/>
    <s v=""/>
    <m/>
    <s v="GC 137-144. Mapping: add some of above"/>
  </r>
  <r>
    <m/>
    <s v="Cabot-Danville FEGC F028-3(26) C1"/>
    <s v="VTrans"/>
    <s v="Vtrans TS4"/>
    <m/>
    <m/>
    <n v="0.28999999999999998"/>
    <n v="0.28999999999999998"/>
    <n v="8.85"/>
    <s v="4022-INDS.R"/>
    <s v="S/N 144+50"/>
    <m/>
    <m/>
    <m/>
    <x v="0"/>
    <m/>
    <x v="4"/>
    <m/>
    <m/>
    <m/>
    <x v="1"/>
    <x v="1"/>
    <s v="Yes"/>
    <x v="1"/>
    <n v="0.31"/>
    <x v="1"/>
    <s v="Total Pervious"/>
    <m/>
    <m/>
    <m/>
    <m/>
    <n v="8.5399999999999991"/>
    <s v="Developed Pervious "/>
    <n v="4"/>
    <n v="0.34"/>
    <n v="4"/>
    <n v="650"/>
    <m/>
    <m/>
    <n v="1184.5600000000002"/>
    <m/>
    <s v="D"/>
    <s v="D"/>
    <n v="0.20360194134272902"/>
    <n v="0.30431574311394261"/>
    <n v="3.9999999999999994E-2"/>
    <n v="0.52157871556971291"/>
    <n v="4.0863148622788517E-2"/>
    <n v="8.3198163889762061E-3"/>
    <n v="0"/>
    <s v="No"/>
    <m/>
    <n v="1"/>
    <n v="8.3198163889762061E-3"/>
    <m/>
    <m/>
    <m/>
    <m/>
    <m/>
    <m/>
    <m/>
    <m/>
    <m/>
    <m/>
    <s v=""/>
    <n v="0"/>
    <s v=""/>
    <s v=""/>
    <s v=""/>
    <s v=""/>
    <m/>
    <s v="GC 144+50-151"/>
  </r>
  <r>
    <s v="{73C23A3B-3A03-441E-9885-83CA9014F4F5}"/>
    <s v="Cabot-Danville FEGC F028-3(26) C1"/>
    <s v="VTrans"/>
    <s v="Vtrans TS4"/>
    <m/>
    <m/>
    <n v="0.28999999999999998"/>
    <n v="0.28999999999999998"/>
    <n v="0.26"/>
    <s v="4022-INDS.R"/>
    <s v="S/N 144+50"/>
    <m/>
    <m/>
    <m/>
    <x v="0"/>
    <m/>
    <x v="4"/>
    <m/>
    <m/>
    <m/>
    <x v="1"/>
    <x v="1"/>
    <s v="Yes"/>
    <x v="1"/>
    <n v="0.19"/>
    <x v="1"/>
    <s v="Total Pervious"/>
    <m/>
    <m/>
    <m/>
    <m/>
    <n v="7.0000000000000007E-2"/>
    <s v="Developed Pervious "/>
    <n v="4"/>
    <n v="0.21"/>
    <n v="4"/>
    <n v="300"/>
    <m/>
    <m/>
    <n v="304.92"/>
    <m/>
    <s v="D"/>
    <s v="D"/>
    <n v="0.12478828662941456"/>
    <n v="0.42310572661029783"/>
    <n v="4.0000000000000008E-2"/>
    <n v="0.11552863305148905"/>
    <n v="5.4621145322059569E-2"/>
    <n v="6.8160791384760762E-3"/>
    <n v="0"/>
    <s v="No"/>
    <m/>
    <n v="1"/>
    <n v="6.8160791384760762E-3"/>
    <m/>
    <m/>
    <m/>
    <m/>
    <m/>
    <m/>
    <m/>
    <m/>
    <m/>
    <m/>
    <s v=""/>
    <n v="0"/>
    <s v=""/>
    <s v=""/>
    <s v=""/>
    <s v=""/>
    <m/>
    <s v="GC 146-149"/>
  </r>
  <r>
    <s v="{67DC6E00-A985-44C2-91C1-FEF8BD28CC39}"/>
    <s v="Cabot-Danville FEGC F028-3(26) C1"/>
    <s v="VTrans"/>
    <s v="Vtrans TS4"/>
    <m/>
    <m/>
    <n v="0.09"/>
    <n v="0.42"/>
    <n v="6.75"/>
    <s v="4022-INDS.R"/>
    <s v="S/N 156+00"/>
    <m/>
    <m/>
    <m/>
    <x v="0"/>
    <m/>
    <x v="4"/>
    <m/>
    <m/>
    <m/>
    <x v="1"/>
    <x v="1"/>
    <s v="Yes"/>
    <x v="1"/>
    <n v="0.01"/>
    <x v="1"/>
    <s v="Total Pervious"/>
    <m/>
    <m/>
    <m/>
    <m/>
    <n v="6.74"/>
    <s v="Forest"/>
    <n v="6"/>
    <n v="0.38"/>
    <n v="4"/>
    <n v="350"/>
    <m/>
    <m/>
    <n v="1000.1599999999999"/>
    <m/>
    <s v="C"/>
    <s v="C"/>
    <n v="1.2281690154897413"/>
    <n v="0.37297603138050434"/>
    <n v="3.9999999999999994E-2"/>
    <n v="0.86488015690252162"/>
    <n v="5.4595206276100858E-2"/>
    <n v="6.7052140742578134E-2"/>
    <n v="0"/>
    <s v="No"/>
    <m/>
    <n v="1"/>
    <n v="6.7052140742578134E-2"/>
    <m/>
    <m/>
    <m/>
    <m/>
    <m/>
    <m/>
    <m/>
    <m/>
    <m/>
    <m/>
    <s v=""/>
    <n v="0"/>
    <s v=""/>
    <s v=""/>
    <s v=""/>
    <s v=""/>
    <m/>
    <s v="GC 152+50-156."/>
  </r>
  <r>
    <s v="{FA2E04C1-91F5-4592-9AD7-EF756AC3D5BB}"/>
    <s v="Cabot-Danville FEGC F028-3(26) C1"/>
    <s v="VTrans"/>
    <s v="Vtrans TS4"/>
    <m/>
    <m/>
    <n v="0.48"/>
    <n v="0.36"/>
    <n v="10.08"/>
    <s v="4022-INDS.R"/>
    <s v="S/N 162+00"/>
    <m/>
    <m/>
    <m/>
    <x v="0"/>
    <m/>
    <x v="4"/>
    <m/>
    <m/>
    <m/>
    <x v="1"/>
    <x v="1"/>
    <s v="Yes"/>
    <x v="1"/>
    <n v="0.46"/>
    <x v="2"/>
    <s v="Total Pervious"/>
    <m/>
    <m/>
    <m/>
    <m/>
    <n v="9.6199999999999992"/>
    <s v="Forest"/>
    <n v="8"/>
    <n v="0.41"/>
    <n v="4"/>
    <n v="500"/>
    <m/>
    <m/>
    <n v="1976.2"/>
    <m/>
    <s v="C"/>
    <s v="C"/>
    <n v="2.2118747630500981"/>
    <n v="0.36686230340221671"/>
    <n v="3.9999999999999994E-2"/>
    <n v="0.83431151701108341"/>
    <n v="5.3372460680443337E-2"/>
    <n v="0.11805319882095629"/>
    <n v="0"/>
    <s v="No"/>
    <m/>
    <n v="1"/>
    <n v="0.11805319882095629"/>
    <m/>
    <m/>
    <m/>
    <m/>
    <m/>
    <m/>
    <m/>
    <m/>
    <m/>
    <m/>
    <s v=""/>
    <n v="0"/>
    <s v=""/>
    <s v=""/>
    <s v=""/>
    <s v=""/>
    <m/>
    <s v="GC 157-162"/>
  </r>
  <r>
    <s v="{162E0F9B-5504-48D0-8B4B-CD7A72273473}"/>
    <s v="Cabot-Danville FEGC F028-3(26) C1"/>
    <s v="VTrans"/>
    <s v="Vtrans TS4"/>
    <m/>
    <m/>
    <n v="0.48"/>
    <n v="0.36"/>
    <n v="0.67"/>
    <s v="4022-INDS.R"/>
    <s v="S/N 162+00"/>
    <m/>
    <m/>
    <m/>
    <x v="0"/>
    <m/>
    <x v="4"/>
    <m/>
    <m/>
    <m/>
    <x v="1"/>
    <x v="1"/>
    <s v="Yes"/>
    <x v="7"/>
    <n v="0.1"/>
    <x v="2"/>
    <s v="Total Pervious"/>
    <m/>
    <m/>
    <m/>
    <m/>
    <n v="0.56999999999999995"/>
    <s v="Developed Pervious "/>
    <n v="6"/>
    <n v="1"/>
    <n v="3"/>
    <n v="50"/>
    <m/>
    <m/>
    <n v="450"/>
    <m/>
    <s v="C"/>
    <s v="C"/>
    <n v="0.10180080808309218"/>
    <n v="0.61927833842818969"/>
    <s v=""/>
    <n v="9.6391692140948532E-2"/>
    <s v=""/>
    <s v=""/>
    <n v="4.0720323233236877E-2"/>
    <s v="No"/>
    <m/>
    <n v="1"/>
    <n v="4.0720323233236877E-2"/>
    <m/>
    <m/>
    <m/>
    <m/>
    <m/>
    <m/>
    <m/>
    <m/>
    <m/>
    <m/>
    <s v=""/>
    <n v="0"/>
    <s v=""/>
    <s v=""/>
    <s v=""/>
    <s v=""/>
    <m/>
    <s v="Wet Swale 162-162+50"/>
  </r>
  <r>
    <s v="{2125D222-336E-417D-A0FC-1989C7ECFE6F}"/>
    <s v="Cabot-Danville FEGC F028-3(26) C1"/>
    <s v="VTrans"/>
    <s v="Vtrans TS4"/>
    <m/>
    <m/>
    <n v="0.17"/>
    <n v="0.47"/>
    <n v="0.52"/>
    <s v="4022-INDS.R"/>
    <s v="S/N 165+50"/>
    <m/>
    <m/>
    <m/>
    <x v="0"/>
    <m/>
    <x v="4"/>
    <m/>
    <m/>
    <m/>
    <x v="1"/>
    <x v="1"/>
    <s v="Yes"/>
    <x v="1"/>
    <n v="0.24"/>
    <x v="2"/>
    <s v="Total Pervious"/>
    <m/>
    <m/>
    <m/>
    <m/>
    <n v="0.28000000000000003"/>
    <s v="Developed Pervious "/>
    <n v="6"/>
    <n v="0.22"/>
    <n v="4"/>
    <n v="250"/>
    <m/>
    <m/>
    <n v="378.40000000000003"/>
    <m/>
    <s v="C"/>
    <s v="C"/>
    <n v="0.24432193939942121"/>
    <n v="0.38443888330924281"/>
    <n v="3.9999999999999994E-2"/>
    <n v="0.92219441654621392"/>
    <n v="5.6887776661848549E-2"/>
    <n v="1.3898931922143969E-2"/>
    <n v="0"/>
    <s v="No"/>
    <m/>
    <n v="1"/>
    <n v="1.3898931922143969E-2"/>
    <m/>
    <m/>
    <m/>
    <m/>
    <m/>
    <m/>
    <m/>
    <m/>
    <m/>
    <m/>
    <s v=""/>
    <n v="0"/>
    <s v=""/>
    <s v=""/>
    <s v=""/>
    <s v=""/>
    <m/>
    <s v="GC 163-165+50"/>
  </r>
  <r>
    <s v="{5D001F5B-B4F1-4D12-BD20-71D4FFE4CB7D}"/>
    <s v="Cabot-Danville FEGC F028-3(26) C1"/>
    <s v="VTrans"/>
    <s v="Vtrans TS4"/>
    <m/>
    <m/>
    <n v="0.17"/>
    <n v="0.47"/>
    <n v="1.83"/>
    <s v="4022-INDS.R"/>
    <s v="S/N 165+50"/>
    <m/>
    <m/>
    <m/>
    <x v="0"/>
    <m/>
    <x v="4"/>
    <m/>
    <m/>
    <m/>
    <x v="1"/>
    <x v="1"/>
    <s v="Yes"/>
    <x v="1"/>
    <n v="0.32"/>
    <x v="2"/>
    <s v="Total Pervious"/>
    <m/>
    <m/>
    <m/>
    <m/>
    <n v="1.51"/>
    <s v="Developed Pervious "/>
    <n v="4"/>
    <n v="0.31"/>
    <n v="4"/>
    <n v="300"/>
    <m/>
    <m/>
    <n v="487.32"/>
    <m/>
    <s v="C"/>
    <s v="C"/>
    <n v="0.32576258586589496"/>
    <n v="0.29713243643616077"/>
    <n v="3.9999999999999994E-2"/>
    <n v="0.48566218218080381"/>
    <n v="3.9426487287232151E-2"/>
    <n v="1.284367445029758E-2"/>
    <n v="0"/>
    <s v="No"/>
    <m/>
    <n v="1"/>
    <n v="1.284367445029758E-2"/>
    <m/>
    <m/>
    <m/>
    <m/>
    <m/>
    <m/>
    <m/>
    <m/>
    <m/>
    <m/>
    <s v=""/>
    <n v="0"/>
    <s v=""/>
    <s v=""/>
    <s v=""/>
    <s v=""/>
    <m/>
    <s v="GC 165+50-168+50"/>
  </r>
  <r>
    <s v="{8885DB32-7796-4111-8DC2-DB66DC167569}"/>
    <s v="Cabot-Danville FEGC F028-3(26) C1"/>
    <s v="VTrans"/>
    <s v="Vtrans TS4"/>
    <m/>
    <m/>
    <n v="0.19"/>
    <n v="0.19"/>
    <n v="1.25"/>
    <s v="4022-INDS.R"/>
    <s v="S/N 170+20"/>
    <m/>
    <m/>
    <m/>
    <x v="0"/>
    <m/>
    <x v="4"/>
    <m/>
    <m/>
    <m/>
    <x v="1"/>
    <x v="1"/>
    <s v="Yes"/>
    <x v="1"/>
    <n v="0.14000000000000001"/>
    <x v="2"/>
    <s v="Total Pervious"/>
    <m/>
    <m/>
    <m/>
    <m/>
    <n v="1.1100000000000001"/>
    <s v="Developed Pervious "/>
    <n v="8"/>
    <n v="0.12"/>
    <n v="4"/>
    <n v="170"/>
    <m/>
    <m/>
    <n v="172.99200000000002"/>
    <m/>
    <s v="D"/>
    <s v="D"/>
    <n v="0.14252113131632907"/>
    <n v="0.22253063679175045"/>
    <n v="3.9999999999999994E-2"/>
    <n v="0.11265318395875218"/>
    <n v="2.4506127358350088E-2"/>
    <n v="3.4926409952940971E-3"/>
    <n v="0"/>
    <s v="No"/>
    <m/>
    <n v="1"/>
    <n v="3.4926409952940971E-3"/>
    <m/>
    <m/>
    <m/>
    <m/>
    <m/>
    <m/>
    <m/>
    <m/>
    <m/>
    <m/>
    <s v=""/>
    <n v="0"/>
    <s v=""/>
    <s v=""/>
    <s v=""/>
    <s v=""/>
    <m/>
    <s v="GC 168+50-170+20"/>
  </r>
  <r>
    <m/>
    <s v="Cabot-Danville FEGC F028-3(26) C1"/>
    <s v="VTrans"/>
    <s v="Vtrans TS4"/>
    <m/>
    <m/>
    <n v="0.19"/>
    <n v="0.19"/>
    <n v="2.2400000000000002"/>
    <s v="4022-INDS.R"/>
    <s v="S/N 170+20"/>
    <m/>
    <m/>
    <m/>
    <x v="0"/>
    <m/>
    <x v="4"/>
    <m/>
    <m/>
    <m/>
    <x v="1"/>
    <x v="1"/>
    <s v="Yes"/>
    <x v="1"/>
    <n v="0.17"/>
    <x v="2"/>
    <s v="Total Pervious"/>
    <m/>
    <m/>
    <m/>
    <m/>
    <n v="2.0699999999999998"/>
    <s v="Forest"/>
    <n v="6"/>
    <n v="0.17"/>
    <n v="4"/>
    <n v="230"/>
    <m/>
    <m/>
    <n v="261.18799999999999"/>
    <m/>
    <s v="D"/>
    <s v="D"/>
    <n v="0.5482415676026392"/>
    <n v="0.23015635819102848"/>
    <n v="3.9999999999999994E-2"/>
    <n v="0.15078179095514233"/>
    <n v="2.6031271638205691E-2"/>
    <n v="1.427142516962001E-2"/>
    <n v="0"/>
    <s v="No"/>
    <m/>
    <n v="1"/>
    <n v="1.427142516962001E-2"/>
    <m/>
    <m/>
    <m/>
    <m/>
    <m/>
    <m/>
    <m/>
    <m/>
    <m/>
    <m/>
    <s v=""/>
    <n v="0"/>
    <s v=""/>
    <s v=""/>
    <s v=""/>
    <s v=""/>
    <m/>
    <s v="GC 170+20-172+50. Mapping: split with below"/>
  </r>
  <r>
    <m/>
    <s v="Cabot-Danville FEGC F028-3(26) C1"/>
    <s v="VTrans"/>
    <s v="Vtrans TS4"/>
    <m/>
    <m/>
    <n v="0.09"/>
    <n v="0.32"/>
    <n v="0.4"/>
    <s v="4022-INDS.R"/>
    <s v="S/N 173+50"/>
    <m/>
    <m/>
    <m/>
    <x v="0"/>
    <m/>
    <x v="4"/>
    <m/>
    <m/>
    <m/>
    <x v="1"/>
    <x v="1"/>
    <s v="Yes"/>
    <x v="1"/>
    <n v="7.0000000000000007E-2"/>
    <x v="2"/>
    <s v="Total Pervious"/>
    <m/>
    <m/>
    <m/>
    <m/>
    <n v="0.33"/>
    <s v="Developed Pervious "/>
    <n v="4"/>
    <n v="0.27"/>
    <n v="4"/>
    <n v="100"/>
    <m/>
    <m/>
    <n v="137.16000000000003"/>
    <m/>
    <s v="D"/>
    <s v="D"/>
    <n v="7.1260565658164535E-2"/>
    <n v="0.36119409889460641"/>
    <n v="3.9999999999999994E-2"/>
    <n v="0.80597049447303193"/>
    <n v="5.2238819778921267E-2"/>
    <n v="3.7225678467608433E-3"/>
    <n v="0"/>
    <s v="No"/>
    <m/>
    <n v="1"/>
    <n v="3.7225678467608433E-3"/>
    <m/>
    <m/>
    <m/>
    <m/>
    <m/>
    <m/>
    <m/>
    <m/>
    <m/>
    <m/>
    <s v=""/>
    <n v="0"/>
    <s v=""/>
    <s v=""/>
    <s v=""/>
    <s v=""/>
    <m/>
    <s v="GC 172+50-173+50. Mapping: split with above"/>
  </r>
  <r>
    <s v="{E0CC33D3-9349-4039-8152-8DA1CBAB967B}"/>
    <s v="Cabot-Danville FEGC F028-3(26) C1"/>
    <s v="VTrans"/>
    <s v="Vtrans TS4"/>
    <m/>
    <m/>
    <n v="0.09"/>
    <n v="0.32"/>
    <n v="3.01"/>
    <s v="4022-INDS.R"/>
    <s v="S/N 173+50"/>
    <m/>
    <m/>
    <m/>
    <x v="0"/>
    <m/>
    <x v="4"/>
    <m/>
    <m/>
    <m/>
    <x v="1"/>
    <x v="1"/>
    <s v="Yes"/>
    <x v="1"/>
    <n v="0.26"/>
    <x v="2"/>
    <s v="Total Pervious"/>
    <m/>
    <m/>
    <m/>
    <m/>
    <n v="2.75"/>
    <s v="Forest"/>
    <n v="4"/>
    <n v="0.36"/>
    <n v="4"/>
    <n v="350"/>
    <m/>
    <m/>
    <n v="685.43999999999994"/>
    <m/>
    <s v="D"/>
    <s v="D"/>
    <n v="0.76310989479323865"/>
    <n v="0.34979396382378047"/>
    <n v="3.9999999999999994E-2"/>
    <n v="0.74896981911890226"/>
    <n v="4.9958792764756087E-2"/>
    <n v="3.8124049090710231E-2"/>
    <n v="0"/>
    <s v="No"/>
    <m/>
    <n v="1"/>
    <n v="3.8124049090710231E-2"/>
    <m/>
    <m/>
    <m/>
    <m/>
    <m/>
    <m/>
    <m/>
    <m/>
    <m/>
    <m/>
    <s v=""/>
    <n v="0"/>
    <s v=""/>
    <s v=""/>
    <s v=""/>
    <s v=""/>
    <m/>
    <s v="GC 173+50-177. Mapping: Shorten grass swale on map"/>
  </r>
  <r>
    <s v="{76C57560-36F0-4089-A7DE-366907771D27}"/>
    <s v="Richmond STP RS 0284(11) Checkerhouse truss"/>
    <s v="VTrans"/>
    <s v="Vtrans TS4"/>
    <m/>
    <m/>
    <n v="0"/>
    <n v="0.3"/>
    <n v="0.15"/>
    <s v="5526-INDS.A"/>
    <s v="S/N 003"/>
    <m/>
    <m/>
    <m/>
    <x v="0"/>
    <m/>
    <x v="4"/>
    <m/>
    <m/>
    <m/>
    <x v="1"/>
    <x v="1"/>
    <s v="Yes"/>
    <x v="1"/>
    <n v="0.01"/>
    <x v="1"/>
    <s v="Total Pervious"/>
    <m/>
    <m/>
    <m/>
    <m/>
    <n v="0.14000000000000001"/>
    <s v="Developed Pervious "/>
    <n v="2"/>
    <n v="0.04"/>
    <n v="9"/>
    <n v="108"/>
    <n v="63.12"/>
    <m/>
    <n v="10.1952"/>
    <m/>
    <s v="D"/>
    <s v="D"/>
    <n v="6.5678045594428714E-3"/>
    <n v="0.16415944543072303"/>
    <n v="3.0000000000000002E-2"/>
    <n v="0.64159445430723017"/>
    <n v="1.9247833629216907E-2"/>
    <n v="1.2641600946936864E-4"/>
    <n v="0"/>
    <s v="No"/>
    <m/>
    <n v="1"/>
    <n v="1.2641600946936864E-4"/>
    <m/>
    <m/>
    <m/>
    <m/>
    <m/>
    <m/>
    <m/>
    <m/>
    <m/>
    <m/>
    <s v=""/>
    <n v="0"/>
    <s v=""/>
    <s v=""/>
    <s v=""/>
    <s v=""/>
    <m/>
    <m/>
  </r>
  <r>
    <s v="{35A9278C-1D66-42F4-B617-062607DC0F18}"/>
    <s v="Richmond STP RS 0284(11) Checkerhouse truss"/>
    <s v="VTrans"/>
    <s v="Vtrans TS4"/>
    <m/>
    <m/>
    <n v="0"/>
    <n v="0.34"/>
    <n v="7.0000000000000007E-2"/>
    <s v="5526-INDS.A"/>
    <s v="S/N 004"/>
    <m/>
    <m/>
    <m/>
    <x v="0"/>
    <m/>
    <x v="4"/>
    <m/>
    <m/>
    <m/>
    <x v="1"/>
    <x v="1"/>
    <s v="Yes"/>
    <x v="1"/>
    <n v="0.01"/>
    <x v="1"/>
    <s v="Total Pervious"/>
    <m/>
    <m/>
    <m/>
    <m/>
    <n v="0.06"/>
    <s v="Developed Pervious "/>
    <n v="2"/>
    <n v="0.04"/>
    <n v="3"/>
    <n v="175"/>
    <n v="63.61"/>
    <m/>
    <n v="14.84"/>
    <m/>
    <s v="A"/>
    <s v="A"/>
    <n v="6.5678045594428714E-3"/>
    <n v="0.27490242185016828"/>
    <n v="3.9999999999999994E-2"/>
    <n v="0.37451210925084133"/>
    <n v="3.4980484370033649E-2"/>
    <n v="2.297449847370271E-4"/>
    <n v="0"/>
    <s v="No"/>
    <m/>
    <n v="1"/>
    <n v="2.297449847370271E-4"/>
    <m/>
    <m/>
    <m/>
    <m/>
    <m/>
    <m/>
    <m/>
    <m/>
    <m/>
    <m/>
    <s v=""/>
    <n v="0"/>
    <s v=""/>
    <s v=""/>
    <s v=""/>
    <s v=""/>
    <m/>
    <m/>
  </r>
  <r>
    <s v="{F0E83D62-8248-491A-B75A-CA59594882E5}"/>
    <s v="Richmond STP RS 0284(11) Checkerhouse truss"/>
    <s v="VTrans"/>
    <s v="Vtrans TS4"/>
    <m/>
    <m/>
    <n v="0"/>
    <n v="0.34"/>
    <m/>
    <s v="5526-INDS.A"/>
    <s v="S/N 004"/>
    <m/>
    <m/>
    <m/>
    <x v="0"/>
    <m/>
    <x v="4"/>
    <m/>
    <m/>
    <m/>
    <x v="1"/>
    <x v="1"/>
    <s v="Yes"/>
    <x v="3"/>
    <n v="0.03"/>
    <x v="4"/>
    <s v="Total Pervious"/>
    <m/>
    <m/>
    <m/>
    <m/>
    <n v="1.0000000000000001E-5"/>
    <s v="Developed Pervious "/>
    <m/>
    <m/>
    <m/>
    <m/>
    <m/>
    <n v="0.74"/>
    <n v="0"/>
    <m/>
    <s v="A"/>
    <s v="A"/>
    <n v="1.4342111310267885E-2"/>
    <n v="0"/>
    <s v=""/>
    <s v=""/>
    <s v=""/>
    <s v=""/>
    <n v="1.0613162369598235E-2"/>
    <s v="No"/>
    <m/>
    <n v="1"/>
    <n v="1.0613162369598235E-2"/>
    <m/>
    <m/>
    <m/>
    <m/>
    <m/>
    <m/>
    <m/>
    <m/>
    <m/>
    <m/>
    <s v=""/>
    <n v="0"/>
    <s v=""/>
    <s v=""/>
    <s v=""/>
    <s v=""/>
    <m/>
    <s v="1340 sq ft of treatment."/>
  </r>
  <r>
    <s v="{634681DD-7CB3-45FB-A923-F1DAE53A9432}"/>
    <s v="St. Albans I-89 Median"/>
    <s v="VTrans"/>
    <s v="Vtrans TS4"/>
    <m/>
    <m/>
    <m/>
    <m/>
    <n v="5.81"/>
    <s v="NA"/>
    <s v="NA"/>
    <m/>
    <m/>
    <m/>
    <x v="0"/>
    <m/>
    <x v="4"/>
    <m/>
    <m/>
    <s v="Rugg Brook"/>
    <x v="2"/>
    <x v="2"/>
    <s v="Yes"/>
    <x v="8"/>
    <n v="1.58"/>
    <x v="1"/>
    <s v="Total Pervious"/>
    <m/>
    <m/>
    <m/>
    <m/>
    <n v="4.2300000000000004"/>
    <s v="Developed Pervious "/>
    <m/>
    <m/>
    <m/>
    <m/>
    <m/>
    <m/>
    <n v="8359"/>
    <s v="0.17 in/hr"/>
    <s v="C"/>
    <s v="C"/>
    <n v="1.1393270163632785"/>
    <n v="0.87770327279897153"/>
    <n v="7.0000000000000062E-2"/>
    <n v="0.38851636399485756"/>
    <n v="0.75719614547964009"/>
    <n v="0.86269402523109329"/>
    <n v="0"/>
    <s v="No"/>
    <m/>
    <n v="1"/>
    <n v="0.86269402523109329"/>
    <m/>
    <m/>
    <m/>
    <m/>
    <m/>
    <m/>
    <m/>
    <m/>
    <m/>
    <m/>
    <s v=""/>
    <n v="0"/>
    <s v=""/>
    <s v=""/>
    <s v=""/>
    <s v=""/>
    <m/>
    <s v="SDC138."/>
  </r>
  <r>
    <s v="{5C9590DA-4036-4566-BB28-08521F7E6D0C}"/>
    <s v="St. Albans I-89 Median"/>
    <s v="VTrans"/>
    <s v="Vtrans TS4"/>
    <m/>
    <m/>
    <m/>
    <m/>
    <n v="2.5"/>
    <s v="NA"/>
    <s v="NA"/>
    <m/>
    <m/>
    <m/>
    <x v="0"/>
    <m/>
    <x v="4"/>
    <m/>
    <m/>
    <s v="Rugg Brook"/>
    <x v="2"/>
    <x v="2"/>
    <s v="Yes"/>
    <x v="8"/>
    <n v="0.65"/>
    <x v="1"/>
    <s v="Total Pervious"/>
    <m/>
    <m/>
    <m/>
    <m/>
    <n v="1.85"/>
    <s v="Developed Pervious "/>
    <m/>
    <m/>
    <m/>
    <m/>
    <m/>
    <m/>
    <n v="5029"/>
    <s v="0.17 in/hr"/>
    <s v="D"/>
    <s v="D"/>
    <n v="0.46871048141527283"/>
    <n v="1.1246318956457371"/>
    <n v="6.9999999999999951E-2"/>
    <n v="0.24926379129147413"/>
    <n v="0.84744846539040308"/>
    <n v="0.39720797818776998"/>
    <n v="0"/>
    <s v="No"/>
    <m/>
    <n v="1"/>
    <n v="0.39720797818776998"/>
    <m/>
    <m/>
    <m/>
    <m/>
    <m/>
    <m/>
    <m/>
    <m/>
    <m/>
    <m/>
    <s v=""/>
    <n v="0"/>
    <s v=""/>
    <s v=""/>
    <s v=""/>
    <s v=""/>
    <m/>
    <s v="SDC75c. Features are separate in map but I'd like to keep it that way"/>
  </r>
  <r>
    <s v="{FFE1C3BE-CF98-4158-8DCC-1288E9E91652}"/>
    <s v="St. Albans I-89 Median"/>
    <s v="VTrans"/>
    <s v="Vtrans TS4"/>
    <m/>
    <m/>
    <m/>
    <m/>
    <n v="1.9"/>
    <s v="NA"/>
    <s v="NA"/>
    <m/>
    <m/>
    <m/>
    <x v="0"/>
    <m/>
    <x v="4"/>
    <m/>
    <m/>
    <s v="Stevens Brook"/>
    <x v="2"/>
    <x v="2"/>
    <s v="Yes"/>
    <x v="8"/>
    <n v="0.89"/>
    <x v="1"/>
    <s v="Total Pervious"/>
    <m/>
    <m/>
    <m/>
    <m/>
    <n v="1.01"/>
    <s v="Developed Pervious "/>
    <m/>
    <m/>
    <m/>
    <m/>
    <m/>
    <m/>
    <n v="4381"/>
    <s v="0.17 in/hr"/>
    <s v="C"/>
    <s v="C"/>
    <n v="0.64177281301475819"/>
    <n v="1.0231893097722478"/>
    <n v="6.9999999999999951E-2"/>
    <n v="4.6378619544495514E-2"/>
    <n v="0.83324650336811468"/>
    <n v="0.53475495240126614"/>
    <n v="0"/>
    <s v="No"/>
    <m/>
    <n v="1"/>
    <n v="0.53475495240126614"/>
    <m/>
    <m/>
    <m/>
    <m/>
    <m/>
    <m/>
    <m/>
    <m/>
    <m/>
    <m/>
    <s v=""/>
    <n v="0"/>
    <s v=""/>
    <s v=""/>
    <s v=""/>
    <s v=""/>
    <m/>
    <s v="SDC80b. Need to map."/>
  </r>
  <r>
    <s v="{DE8AB20D-4B11-44DD-BC4F-214F21C1905A}"/>
    <s v="St. Albans US7 and VT207 intersections (Walmart)"/>
    <s v="VTrans"/>
    <s v="Vtrans TS4"/>
    <m/>
    <m/>
    <n v="0"/>
    <n v="0.57999999999999996"/>
    <n v="0.51"/>
    <s v="6765-INDS"/>
    <s v="S/N 001"/>
    <m/>
    <m/>
    <m/>
    <x v="0"/>
    <m/>
    <x v="4"/>
    <m/>
    <m/>
    <m/>
    <x v="2"/>
    <x v="2"/>
    <s v="Yes"/>
    <x v="1"/>
    <n v="0.28000000000000003"/>
    <x v="1"/>
    <s v="Total Pervious"/>
    <m/>
    <m/>
    <m/>
    <m/>
    <n v="0.23"/>
    <s v="Developed Pervious "/>
    <n v="2"/>
    <n v="0.16"/>
    <n v="2"/>
    <n v="510"/>
    <m/>
    <m/>
    <n v="189.31199999999998"/>
    <m/>
    <s v="A"/>
    <s v="A"/>
    <n v="0.20190605353273292"/>
    <n v="0.17825545469425677"/>
    <n v="3.0000000000000002E-2"/>
    <n v="0.78255454694256765"/>
    <n v="2.3476636408277032E-2"/>
    <n v="4.7400750074180894E-3"/>
    <n v="0"/>
    <s v="No"/>
    <m/>
    <n v="1"/>
    <n v="4.7400750074180894E-3"/>
    <m/>
    <m/>
    <m/>
    <m/>
    <m/>
    <m/>
    <m/>
    <m/>
    <m/>
    <m/>
    <s v=""/>
    <n v="0"/>
    <s v=""/>
    <s v=""/>
    <s v=""/>
    <s v=""/>
    <m/>
    <s v="GC1. Walmart Swale (short)"/>
  </r>
  <r>
    <s v="{B42BC142-FA90-4FDE-8284-4E3A46BD62AF}"/>
    <s v="St. Albans US7 and VT207 intersections (Walmart)"/>
    <s v="VTrans"/>
    <s v="Vtrans TS4"/>
    <m/>
    <m/>
    <n v="0"/>
    <n v="0.57999999999999996"/>
    <n v="1.1100000000000001"/>
    <s v="6765-INDS"/>
    <s v="S/N 001"/>
    <m/>
    <m/>
    <m/>
    <x v="0"/>
    <m/>
    <x v="4"/>
    <m/>
    <m/>
    <m/>
    <x v="2"/>
    <x v="2"/>
    <s v="Yes"/>
    <x v="1"/>
    <n v="0.08"/>
    <x v="1"/>
    <s v="Total Pervious"/>
    <m/>
    <m/>
    <m/>
    <m/>
    <n v="1.03"/>
    <s v="Developed Pervious "/>
    <n v="5"/>
    <n v="7.0000000000000007E-2"/>
    <n v="2"/>
    <n v="300"/>
    <m/>
    <m/>
    <n v="107.94"/>
    <m/>
    <s v="A"/>
    <s v="A"/>
    <n v="5.7687443866495117E-2"/>
    <n v="0.20621533918717713"/>
    <n v="3.9999999999999994E-2"/>
    <n v="3.1076695935885607E-2"/>
    <n v="2.1243067837435424E-2"/>
    <n v="1.2254582834242038E-3"/>
    <n v="0"/>
    <s v="No"/>
    <m/>
    <n v="1"/>
    <n v="1.2254582834242038E-3"/>
    <m/>
    <m/>
    <m/>
    <m/>
    <m/>
    <m/>
    <m/>
    <m/>
    <m/>
    <m/>
    <s v=""/>
    <n v="0"/>
    <s v=""/>
    <s v=""/>
    <s v=""/>
    <s v=""/>
    <m/>
    <s v="GC2. Drive In Swale  (short)"/>
  </r>
  <r>
    <s v="{4749ADB6-2FA6-4E0E-8696-F1610566804E}"/>
    <s v="St. Albans US7 and VT207 intersections (Walmart)"/>
    <s v="VTrans"/>
    <s v="Vtrans TS4"/>
    <m/>
    <m/>
    <n v="0"/>
    <n v="0.57999999999999996"/>
    <n v="0.23"/>
    <s v="6765-INDS"/>
    <s v="S/N 001"/>
    <m/>
    <m/>
    <m/>
    <x v="0"/>
    <m/>
    <x v="4"/>
    <m/>
    <m/>
    <m/>
    <x v="2"/>
    <x v="2"/>
    <s v="Yes"/>
    <x v="1"/>
    <n v="0.15"/>
    <x v="1"/>
    <s v="Total Pervious"/>
    <m/>
    <m/>
    <m/>
    <m/>
    <n v="0.08"/>
    <s v="Developed Pervious "/>
    <n v="8"/>
    <n v="7.0000000000000007E-2"/>
    <n v="2"/>
    <n v="200"/>
    <m/>
    <m/>
    <n v="113.96000000000002"/>
    <m/>
    <s v="C/D"/>
    <s v="C/D"/>
    <n v="0.10816395724967834"/>
    <n v="0.20266173848500807"/>
    <n v="3.9999999999999994E-2"/>
    <n v="1.3308692425040292E-2"/>
    <n v="2.0532347697001612E-2"/>
    <n v="2.2208599785340137E-3"/>
    <n v="0"/>
    <s v="No"/>
    <m/>
    <n v="1"/>
    <n v="2.2208599785340137E-3"/>
    <m/>
    <m/>
    <m/>
    <m/>
    <m/>
    <m/>
    <m/>
    <m/>
    <m/>
    <m/>
    <s v=""/>
    <n v="0"/>
    <s v=""/>
    <s v=""/>
    <s v=""/>
    <s v=""/>
    <m/>
    <s v="GC3. Car Wash Swale (narrow/short)"/>
  </r>
  <r>
    <s v="{8E5CEA15-AB58-4B0A-8E84-D4919B499F9B}"/>
    <s v="St. Albans US7 and VT207 intersections (Walmart)"/>
    <s v="VTrans"/>
    <s v="Vtrans TS4"/>
    <m/>
    <m/>
    <n v="0"/>
    <n v="0.34"/>
    <n v="0.76"/>
    <s v="6765-INDS"/>
    <s v="S/N 002"/>
    <m/>
    <m/>
    <m/>
    <x v="0"/>
    <m/>
    <x v="4"/>
    <m/>
    <m/>
    <m/>
    <x v="2"/>
    <x v="2"/>
    <s v="Yes"/>
    <x v="1"/>
    <n v="0.34"/>
    <x v="1"/>
    <s v="Total Pervious"/>
    <m/>
    <m/>
    <m/>
    <m/>
    <n v="0.42"/>
    <s v="Developed Pervious "/>
    <n v="8"/>
    <n v="0.09"/>
    <n v="2"/>
    <n v="340"/>
    <m/>
    <m/>
    <n v="250.30799999999999"/>
    <m/>
    <s v="C/D"/>
    <s v="C/D"/>
    <n v="0.24517163643260426"/>
    <n v="0.18931897187843669"/>
    <n v="3.0000000000000002E-2"/>
    <n v="0.89318971878436682"/>
    <n v="2.6795691563531007E-2"/>
    <n v="6.5695435499742248E-3"/>
    <n v="0"/>
    <s v="No"/>
    <m/>
    <n v="1"/>
    <n v="6.5695435499742248E-3"/>
    <m/>
    <m/>
    <m/>
    <m/>
    <m/>
    <m/>
    <m/>
    <m/>
    <m/>
    <m/>
    <s v=""/>
    <n v="0"/>
    <s v=""/>
    <s v=""/>
    <s v=""/>
    <s v=""/>
    <m/>
    <s v="GC4. 207 Swale (not constructed)"/>
  </r>
  <r>
    <s v="{03238CDC-6B07-4B35-947B-B93B5FEA283E}"/>
    <s v="St. Albans US7 and VT207 intersections (Walmart)"/>
    <s v="VTrans"/>
    <s v="Vtrans TS4"/>
    <m/>
    <m/>
    <n v="0"/>
    <n v="0.57999999999999996"/>
    <n v="0.13"/>
    <s v="6765-INDS"/>
    <s v="S/N 001"/>
    <m/>
    <m/>
    <m/>
    <x v="0"/>
    <m/>
    <x v="4"/>
    <m/>
    <m/>
    <m/>
    <x v="2"/>
    <x v="2"/>
    <s v="Yes"/>
    <x v="1"/>
    <n v="7.0000000000000007E-2"/>
    <x v="4"/>
    <s v="Total Pervious"/>
    <m/>
    <m/>
    <m/>
    <m/>
    <n v="0.06"/>
    <s v="Developed Pervious "/>
    <n v="8"/>
    <n v="0.04"/>
    <n v="2"/>
    <n v="140"/>
    <m/>
    <m/>
    <n v="45.247999999999998"/>
    <m/>
    <s v="A"/>
    <s v="A"/>
    <n v="3.5065510102621711E-2"/>
    <n v="0.17040443937395641"/>
    <n v="3.0000000000000002E-2"/>
    <n v="0.70404439373956407"/>
    <n v="2.1121331812186922E-2"/>
    <n v="7.4063027404106582E-4"/>
    <n v="0"/>
    <s v="No"/>
    <m/>
    <n v="1"/>
    <n v="7.4063027404106582E-4"/>
    <m/>
    <m/>
    <m/>
    <m/>
    <m/>
    <m/>
    <m/>
    <m/>
    <m/>
    <m/>
    <s v=""/>
    <n v="0"/>
    <s v=""/>
    <s v=""/>
    <s v=""/>
    <s v=""/>
    <m/>
    <s v="GC5. Advanced Auto Swale (short)"/>
  </r>
  <r>
    <s v="TimberCurbRemoval_ID1"/>
    <s v="Brookfield-Montpelier IM 089-1(61)"/>
    <s v="VTrans"/>
    <s v="Vtrans TS4"/>
    <m/>
    <m/>
    <m/>
    <m/>
    <m/>
    <m/>
    <m/>
    <m/>
    <m/>
    <m/>
    <x v="0"/>
    <m/>
    <x v="5"/>
    <m/>
    <m/>
    <m/>
    <x v="1"/>
    <x v="1"/>
    <s v="Yes"/>
    <x v="3"/>
    <n v="0.41716294859359843"/>
    <x v="1"/>
    <s v="Total Pervious"/>
    <m/>
    <m/>
    <m/>
    <m/>
    <n v="1.0000000000000001E-5"/>
    <s v="Developed Pervious "/>
    <m/>
    <m/>
    <m/>
    <m/>
    <m/>
    <n v="0.49"/>
    <n v="0"/>
    <m/>
    <m/>
    <m/>
    <n v="0.27398447158036676"/>
    <n v="0"/>
    <s v=""/>
    <s v=""/>
    <s v=""/>
    <s v=""/>
    <n v="0.13425239107437972"/>
    <s v="No"/>
    <m/>
    <n v="1"/>
    <n v="0.13425239107437972"/>
    <m/>
    <m/>
    <m/>
    <m/>
    <m/>
    <m/>
    <m/>
    <m/>
    <m/>
    <m/>
    <s v=""/>
    <n v="0"/>
    <s v=""/>
    <s v=""/>
    <s v=""/>
    <s v=""/>
    <m/>
    <m/>
  </r>
  <r>
    <s v="TimberCurbRemoval_ID2"/>
    <s v="Brookfield-Montpelier IM 089-1(61)"/>
    <s v="VTrans"/>
    <s v="Vtrans TS4"/>
    <m/>
    <m/>
    <m/>
    <m/>
    <m/>
    <m/>
    <m/>
    <m/>
    <m/>
    <m/>
    <x v="0"/>
    <m/>
    <x v="5"/>
    <m/>
    <m/>
    <m/>
    <x v="1"/>
    <x v="1"/>
    <s v="Yes"/>
    <x v="3"/>
    <n v="1.07"/>
    <x v="2"/>
    <s v="Total Pervious"/>
    <m/>
    <m/>
    <m/>
    <m/>
    <n v="1.0000000000000001E-5"/>
    <s v="Developed Pervious "/>
    <m/>
    <m/>
    <m/>
    <m/>
    <m/>
    <n v="0.56999999999999995"/>
    <n v="0"/>
    <m/>
    <m/>
    <m/>
    <n v="1.0892686464890864"/>
    <n v="0"/>
    <s v=""/>
    <s v=""/>
    <s v=""/>
    <s v=""/>
    <n v="0.62088312849877914"/>
    <s v="No"/>
    <m/>
    <n v="1"/>
    <n v="0.62088312849877914"/>
    <m/>
    <m/>
    <m/>
    <m/>
    <m/>
    <m/>
    <m/>
    <m/>
    <m/>
    <m/>
    <s v=""/>
    <n v="0"/>
    <s v=""/>
    <s v=""/>
    <s v=""/>
    <s v=""/>
    <m/>
    <m/>
  </r>
  <r>
    <s v="TimberCurbRemoval_ID3"/>
    <s v="Brookfield-Montpelier IM 089-1(61)"/>
    <s v="VTrans"/>
    <s v="Vtrans TS4"/>
    <m/>
    <m/>
    <m/>
    <m/>
    <m/>
    <m/>
    <m/>
    <m/>
    <m/>
    <m/>
    <x v="0"/>
    <m/>
    <x v="5"/>
    <m/>
    <m/>
    <m/>
    <x v="1"/>
    <x v="1"/>
    <s v="Yes"/>
    <x v="3"/>
    <n v="0.82499999999999996"/>
    <x v="1"/>
    <s v="Total Pervious"/>
    <m/>
    <m/>
    <m/>
    <m/>
    <n v="1.0000000000000001E-5"/>
    <s v="Developed Pervious "/>
    <m/>
    <m/>
    <m/>
    <m/>
    <m/>
    <n v="0.6"/>
    <n v="0"/>
    <m/>
    <m/>
    <m/>
    <n v="0.54184387615403684"/>
    <n v="0"/>
    <s v=""/>
    <s v=""/>
    <s v=""/>
    <s v=""/>
    <n v="0.32510632569242209"/>
    <s v="No"/>
    <m/>
    <n v="1"/>
    <n v="0.32510632569242209"/>
    <m/>
    <m/>
    <m/>
    <m/>
    <m/>
    <m/>
    <m/>
    <m/>
    <m/>
    <m/>
    <s v=""/>
    <n v="0"/>
    <s v=""/>
    <s v=""/>
    <s v=""/>
    <s v=""/>
    <m/>
    <m/>
  </r>
  <r>
    <s v="TimberCurbRemoval_ID4"/>
    <s v="Brookfield-Montpelier IM 089-1(61)"/>
    <s v="VTrans"/>
    <s v="Vtrans TS4"/>
    <m/>
    <m/>
    <m/>
    <m/>
    <m/>
    <m/>
    <m/>
    <m/>
    <m/>
    <m/>
    <x v="0"/>
    <m/>
    <x v="5"/>
    <m/>
    <m/>
    <m/>
    <x v="1"/>
    <x v="1"/>
    <s v="Yes"/>
    <x v="3"/>
    <n v="0.56999999999999995"/>
    <x v="1"/>
    <s v="Total Pervious"/>
    <m/>
    <m/>
    <m/>
    <m/>
    <n v="1.0000000000000001E-5"/>
    <s v="Developed Pervious "/>
    <m/>
    <m/>
    <m/>
    <m/>
    <m/>
    <n v="0.6"/>
    <n v="0"/>
    <m/>
    <m/>
    <m/>
    <n v="0.37436485988824364"/>
    <n v="0"/>
    <s v=""/>
    <s v=""/>
    <s v=""/>
    <s v=""/>
    <n v="0.22461891593294617"/>
    <s v="No"/>
    <m/>
    <n v="1"/>
    <n v="0.22461891593294617"/>
    <m/>
    <m/>
    <m/>
    <m/>
    <m/>
    <m/>
    <m/>
    <m/>
    <m/>
    <m/>
    <s v=""/>
    <n v="0"/>
    <s v=""/>
    <s v=""/>
    <s v=""/>
    <s v=""/>
    <m/>
    <m/>
  </r>
  <r>
    <s v="TimberCurbRemoval_ID5"/>
    <s v="Brookfield-Montpelier IM 089-1(61)"/>
    <s v="VTrans"/>
    <s v="Vtrans TS4"/>
    <m/>
    <m/>
    <m/>
    <m/>
    <m/>
    <m/>
    <m/>
    <m/>
    <m/>
    <m/>
    <x v="0"/>
    <m/>
    <x v="5"/>
    <m/>
    <m/>
    <m/>
    <x v="1"/>
    <x v="1"/>
    <s v="Yes"/>
    <x v="3"/>
    <n v="0.67"/>
    <x v="1"/>
    <s v="Total Pervious"/>
    <m/>
    <m/>
    <m/>
    <m/>
    <n v="1.0000000000000001E-5"/>
    <s v="Developed Pervious "/>
    <m/>
    <m/>
    <m/>
    <m/>
    <m/>
    <n v="0.6"/>
    <n v="0"/>
    <m/>
    <m/>
    <m/>
    <n v="0.44004290548267239"/>
    <n v="0"/>
    <s v=""/>
    <s v=""/>
    <s v=""/>
    <s v=""/>
    <n v="0.26402574328960343"/>
    <s v="No"/>
    <m/>
    <n v="1"/>
    <n v="0.26402574328960343"/>
    <m/>
    <m/>
    <m/>
    <m/>
    <m/>
    <m/>
    <m/>
    <m/>
    <m/>
    <m/>
    <s v=""/>
    <n v="0"/>
    <s v=""/>
    <s v=""/>
    <s v=""/>
    <s v=""/>
    <m/>
    <m/>
  </r>
  <r>
    <s v="TimberCurbRemoval_ID6"/>
    <s v="Brookfield-Montpelier IM 089-1(61)"/>
    <s v="VTrans"/>
    <s v="Vtrans TS4"/>
    <m/>
    <m/>
    <m/>
    <m/>
    <m/>
    <m/>
    <m/>
    <m/>
    <m/>
    <m/>
    <x v="0"/>
    <m/>
    <x v="5"/>
    <m/>
    <m/>
    <m/>
    <x v="1"/>
    <x v="1"/>
    <s v="Yes"/>
    <x v="3"/>
    <n v="0.57999999999999996"/>
    <x v="1"/>
    <s v="Total Pervious"/>
    <m/>
    <m/>
    <m/>
    <m/>
    <n v="1.0000000000000001E-5"/>
    <s v="Developed Pervious "/>
    <m/>
    <m/>
    <m/>
    <m/>
    <m/>
    <n v="0.67"/>
    <n v="0"/>
    <m/>
    <m/>
    <m/>
    <n v="0.38093266444768653"/>
    <n v="0"/>
    <s v=""/>
    <s v=""/>
    <s v=""/>
    <s v=""/>
    <n v="0.25522488517995001"/>
    <s v="No"/>
    <m/>
    <n v="1"/>
    <n v="0.25522488517995001"/>
    <m/>
    <m/>
    <m/>
    <m/>
    <m/>
    <m/>
    <m/>
    <m/>
    <m/>
    <m/>
    <s v=""/>
    <n v="0"/>
    <s v=""/>
    <s v=""/>
    <s v=""/>
    <s v=""/>
    <m/>
    <m/>
  </r>
  <r>
    <s v="TimberCurbRemoval_ID7"/>
    <s v="Brookfield-Montpelier IM 089-1(61)"/>
    <s v="VTrans"/>
    <s v="Vtrans TS4"/>
    <m/>
    <m/>
    <m/>
    <m/>
    <m/>
    <m/>
    <m/>
    <m/>
    <m/>
    <m/>
    <x v="0"/>
    <m/>
    <x v="5"/>
    <m/>
    <m/>
    <m/>
    <x v="1"/>
    <x v="1"/>
    <s v="Yes"/>
    <x v="3"/>
    <n v="0.4"/>
    <x v="1"/>
    <s v="Total Pervious"/>
    <m/>
    <m/>
    <m/>
    <m/>
    <n v="1.0000000000000001E-5"/>
    <s v="Developed Pervious "/>
    <m/>
    <m/>
    <m/>
    <m/>
    <m/>
    <n v="0.6"/>
    <n v="0"/>
    <m/>
    <m/>
    <m/>
    <n v="0.26271218237771488"/>
    <n v="0"/>
    <s v=""/>
    <s v=""/>
    <s v=""/>
    <s v=""/>
    <n v="0.15762730942662892"/>
    <s v="No"/>
    <m/>
    <n v="1"/>
    <n v="0.15762730942662892"/>
    <m/>
    <m/>
    <m/>
    <m/>
    <m/>
    <m/>
    <m/>
    <m/>
    <m/>
    <m/>
    <s v=""/>
    <n v="0"/>
    <s v=""/>
    <s v=""/>
    <s v=""/>
    <s v=""/>
    <m/>
    <m/>
  </r>
  <r>
    <s v="TimberCurbRemoval_ID8"/>
    <s v="Brookfield-Montpelier IM 089-1(61)"/>
    <s v="VTrans"/>
    <s v="Vtrans TS4"/>
    <m/>
    <m/>
    <m/>
    <m/>
    <m/>
    <m/>
    <m/>
    <m/>
    <m/>
    <m/>
    <x v="0"/>
    <m/>
    <x v="5"/>
    <m/>
    <m/>
    <m/>
    <x v="1"/>
    <x v="1"/>
    <s v="Yes"/>
    <x v="3"/>
    <n v="0.26"/>
    <x v="2"/>
    <s v="Total Pervious"/>
    <m/>
    <m/>
    <m/>
    <m/>
    <n v="1.0000000000000001E-5"/>
    <s v="Developed Pervious "/>
    <m/>
    <m/>
    <m/>
    <m/>
    <m/>
    <n v="0.49"/>
    <n v="0"/>
    <m/>
    <m/>
    <m/>
    <n v="0.26468210101603967"/>
    <n v="0"/>
    <s v=""/>
    <s v=""/>
    <s v=""/>
    <s v=""/>
    <n v="0.12969422949785944"/>
    <s v="No"/>
    <m/>
    <n v="1"/>
    <n v="0.12969422949785944"/>
    <m/>
    <m/>
    <m/>
    <m/>
    <m/>
    <m/>
    <m/>
    <m/>
    <m/>
    <m/>
    <s v=""/>
    <n v="0"/>
    <s v=""/>
    <s v=""/>
    <s v=""/>
    <s v=""/>
    <m/>
    <m/>
  </r>
  <r>
    <s v="TimberCurbRemoval_ID9"/>
    <s v="Brookfield-Montpelier IM 089-1(61)"/>
    <s v="VTrans"/>
    <s v="Vtrans TS4"/>
    <m/>
    <m/>
    <m/>
    <m/>
    <m/>
    <m/>
    <m/>
    <m/>
    <m/>
    <m/>
    <x v="0"/>
    <m/>
    <x v="5"/>
    <m/>
    <m/>
    <m/>
    <x v="1"/>
    <x v="1"/>
    <s v="Yes"/>
    <x v="3"/>
    <n v="0.64500000000000002"/>
    <x v="1"/>
    <s v="Total Pervious"/>
    <m/>
    <m/>
    <m/>
    <m/>
    <n v="1.0000000000000001E-5"/>
    <s v="Developed Pervious "/>
    <m/>
    <m/>
    <m/>
    <m/>
    <m/>
    <n v="0.56999999999999995"/>
    <n v="0"/>
    <m/>
    <m/>
    <m/>
    <n v="0.42362339408406519"/>
    <n v="0"/>
    <s v=""/>
    <s v=""/>
    <s v=""/>
    <s v=""/>
    <n v="0.24146533462791714"/>
    <s v="No"/>
    <m/>
    <n v="1"/>
    <n v="0.24146533462791714"/>
    <m/>
    <m/>
    <m/>
    <m/>
    <m/>
    <m/>
    <m/>
    <m/>
    <m/>
    <m/>
    <s v=""/>
    <n v="0"/>
    <s v=""/>
    <s v=""/>
    <s v=""/>
    <s v=""/>
    <m/>
    <m/>
  </r>
  <r>
    <s v="TimberCurbRemoval_ID10"/>
    <s v="Brookfield-Montpelier IM 089-1(61)"/>
    <s v="VTrans"/>
    <s v="Vtrans TS4"/>
    <m/>
    <m/>
    <m/>
    <m/>
    <m/>
    <m/>
    <m/>
    <m/>
    <m/>
    <m/>
    <x v="0"/>
    <m/>
    <x v="5"/>
    <m/>
    <m/>
    <m/>
    <x v="1"/>
    <x v="1"/>
    <s v="Yes"/>
    <x v="3"/>
    <n v="0.155"/>
    <x v="1"/>
    <s v="Total Pervious"/>
    <m/>
    <m/>
    <m/>
    <m/>
    <n v="1.0000000000000001E-5"/>
    <s v="Developed Pervious "/>
    <m/>
    <m/>
    <m/>
    <m/>
    <m/>
    <n v="0.49"/>
    <n v="0"/>
    <m/>
    <m/>
    <m/>
    <n v="0.10180097067136451"/>
    <n v="0"/>
    <s v=""/>
    <s v=""/>
    <s v=""/>
    <s v=""/>
    <n v="4.9882475628968609E-2"/>
    <s v="No"/>
    <m/>
    <n v="1"/>
    <n v="4.9882475628968609E-2"/>
    <m/>
    <m/>
    <m/>
    <m/>
    <m/>
    <m/>
    <m/>
    <m/>
    <m/>
    <m/>
    <s v=""/>
    <n v="0"/>
    <s v=""/>
    <s v=""/>
    <s v=""/>
    <s v=""/>
    <m/>
    <m/>
  </r>
  <r>
    <s v="TimberCurbRemoval_ID11"/>
    <s v="Brookfield-Montpelier IM 089-1(61)"/>
    <s v="VTrans"/>
    <s v="Vtrans TS4"/>
    <m/>
    <m/>
    <m/>
    <m/>
    <m/>
    <m/>
    <m/>
    <m/>
    <m/>
    <m/>
    <x v="0"/>
    <m/>
    <x v="5"/>
    <m/>
    <m/>
    <m/>
    <x v="1"/>
    <x v="1"/>
    <s v="Yes"/>
    <x v="3"/>
    <n v="0.28999999999999998"/>
    <x v="1"/>
    <s v="Total Pervious"/>
    <m/>
    <m/>
    <m/>
    <m/>
    <n v="1.0000000000000001E-5"/>
    <s v="Developed Pervious "/>
    <m/>
    <m/>
    <m/>
    <m/>
    <m/>
    <n v="0.49"/>
    <n v="0"/>
    <m/>
    <m/>
    <m/>
    <n v="0.19046633222384327"/>
    <n v="0"/>
    <s v=""/>
    <s v=""/>
    <s v=""/>
    <s v=""/>
    <n v="9.3328502789683201E-2"/>
    <s v="No"/>
    <m/>
    <n v="1"/>
    <n v="9.3328502789683201E-2"/>
    <m/>
    <m/>
    <m/>
    <m/>
    <m/>
    <m/>
    <m/>
    <m/>
    <m/>
    <m/>
    <s v=""/>
    <n v="0"/>
    <s v=""/>
    <s v=""/>
    <s v=""/>
    <s v=""/>
    <m/>
    <m/>
  </r>
  <r>
    <s v="{D818D0DC-8B99-4865-9A4D-E00617FD0941}"/>
    <s v="Cambridge BRF 027-1(4) &amp; STP 030-2(27)"/>
    <s v="VTrans"/>
    <s v="Vtrans TS4"/>
    <m/>
    <m/>
    <n v="0.5"/>
    <n v="1.89"/>
    <n v="6.47"/>
    <s v="4765-INDS.A"/>
    <s v="S/N 001"/>
    <m/>
    <m/>
    <m/>
    <x v="0"/>
    <m/>
    <x v="5"/>
    <m/>
    <m/>
    <m/>
    <x v="5"/>
    <x v="0"/>
    <s v="Yes"/>
    <x v="1"/>
    <n v="4.92"/>
    <x v="2"/>
    <s v="Total Pervious"/>
    <m/>
    <m/>
    <m/>
    <m/>
    <n v="1.55"/>
    <s v="Developed Pervious "/>
    <n v="7.16"/>
    <n v="0.54"/>
    <n v="4"/>
    <n v="357"/>
    <n v="320"/>
    <m/>
    <n v="1810"/>
    <m/>
    <s v="A"/>
    <s v="B"/>
    <n v="5.0854161828815068"/>
    <n v="0.10029572473918512"/>
    <n v="3.0000000000000002E-2"/>
    <n v="2.9572473918511311E-3"/>
    <n v="8.8717421755533937E-5"/>
    <n v="4.5116501229911616E-4"/>
    <n v="0"/>
    <s v="No"/>
    <m/>
    <n v="1"/>
    <n v="4.5116501229911616E-4"/>
    <m/>
    <m/>
    <m/>
    <m/>
    <m/>
    <m/>
    <m/>
    <m/>
    <m/>
    <m/>
    <s v=""/>
    <n v="0"/>
    <s v=""/>
    <s v=""/>
    <s v=""/>
    <s v=""/>
    <m/>
    <m/>
  </r>
  <r>
    <s v="{CCE0C1CD-E0A9-413C-8C92-60261EB1DA62}"/>
    <s v="Essex Town STP 5400(5)"/>
    <s v="VTrans"/>
    <s v="Vtrans TS4"/>
    <m/>
    <m/>
    <n v="0.08"/>
    <n v="0.12"/>
    <n v="4.72"/>
    <s v="6300-INDS.R"/>
    <s v="S/N 002"/>
    <m/>
    <m/>
    <m/>
    <x v="0"/>
    <m/>
    <x v="5"/>
    <m/>
    <m/>
    <m/>
    <x v="1"/>
    <x v="1"/>
    <s v="Yes"/>
    <x v="1"/>
    <n v="0.34"/>
    <x v="1"/>
    <s v="Total Pervious"/>
    <m/>
    <m/>
    <m/>
    <m/>
    <n v="4.38"/>
    <s v="Developed Pervious "/>
    <n v="2.75"/>
    <n v="0.49"/>
    <n v="3"/>
    <n v="270"/>
    <n v="197"/>
    <m/>
    <n v="558.30599999999993"/>
    <m/>
    <s v="B"/>
    <s v="B"/>
    <n v="0.22330535502105764"/>
    <n v="0.23673170394461868"/>
    <n v="3.9999999999999994E-2"/>
    <n v="0.18365851972309333"/>
    <n v="2.7346340788923732E-2"/>
    <n v="6.1065843383974437E-3"/>
    <n v="0"/>
    <s v="No"/>
    <m/>
    <n v="1"/>
    <n v="6.1065843383974437E-3"/>
    <m/>
    <m/>
    <m/>
    <m/>
    <m/>
    <m/>
    <m/>
    <m/>
    <m/>
    <m/>
    <s v=""/>
    <n v="0"/>
    <s v=""/>
    <s v=""/>
    <s v=""/>
    <s v=""/>
    <m/>
    <s v="Grass Channel 1-A"/>
  </r>
  <r>
    <s v="{BB2598EA-6D96-4D67-8FC5-AC6DF51BDF23}"/>
    <s v="Morrisville/Stowe State Airport Terminal Improvements"/>
    <s v="VTrans"/>
    <s v="Vtrans TS4"/>
    <m/>
    <m/>
    <n v="0"/>
    <n v="6.87"/>
    <n v="2.23"/>
    <s v="4272-9015.1A3"/>
    <s v="S/N 001"/>
    <m/>
    <m/>
    <m/>
    <x v="0"/>
    <m/>
    <x v="5"/>
    <m/>
    <m/>
    <m/>
    <x v="5"/>
    <x v="0"/>
    <s v="Yes"/>
    <x v="1"/>
    <n v="0.76"/>
    <x v="0"/>
    <s v="Total Pervious"/>
    <m/>
    <m/>
    <m/>
    <m/>
    <n v="1.47"/>
    <s v="Developed Pervious "/>
    <n v="6"/>
    <n v="0.37"/>
    <n v="4"/>
    <n v="192"/>
    <n v="192"/>
    <m/>
    <n v="531.37920000000008"/>
    <m/>
    <s v="A"/>
    <s v="A"/>
    <n v="0.61568530108035058"/>
    <n v="0.17451287882580185"/>
    <n v="3.0000000000000002E-2"/>
    <n v="0.74512878825801843"/>
    <n v="2.2353863647740554E-2"/>
    <n v="1.3762945270268247E-2"/>
    <n v="0"/>
    <s v="No"/>
    <m/>
    <n v="1"/>
    <n v="1.3762945270268247E-2"/>
    <m/>
    <m/>
    <m/>
    <m/>
    <m/>
    <m/>
    <m/>
    <m/>
    <m/>
    <m/>
    <s v=""/>
    <n v="0"/>
    <s v=""/>
    <s v=""/>
    <s v=""/>
    <s v=""/>
    <m/>
    <m/>
  </r>
  <r>
    <s v="{E7701978-44E5-4745-8098-EC9A19422240}"/>
    <s v="Morrisville/Stowe State Airport Terminal Improvements"/>
    <s v="VTrans"/>
    <s v="Vtrans TS4"/>
    <m/>
    <m/>
    <n v="0"/>
    <n v="6.87"/>
    <n v="2.37"/>
    <s v="4272-9015.1A3"/>
    <s v="S/N 001"/>
    <m/>
    <m/>
    <m/>
    <x v="0"/>
    <m/>
    <x v="5"/>
    <m/>
    <m/>
    <m/>
    <x v="5"/>
    <x v="0"/>
    <s v="Yes"/>
    <x v="1"/>
    <n v="0.81"/>
    <x v="0"/>
    <s v="Total Pervious"/>
    <m/>
    <m/>
    <m/>
    <m/>
    <n v="1.56"/>
    <s v="Developed Pervious "/>
    <n v="6"/>
    <n v="0.38"/>
    <n v="4"/>
    <n v="209"/>
    <n v="209"/>
    <m/>
    <n v="597.23839999999996"/>
    <m/>
    <s v="A"/>
    <s v="A"/>
    <n v="0.65619091299353161"/>
    <n v="0.18333342710238903"/>
    <n v="3.0000000000000002E-2"/>
    <n v="0.83333427102389024"/>
    <n v="2.5000028130716709E-2"/>
    <n v="1.6404791283958969E-2"/>
    <n v="0"/>
    <s v="No"/>
    <m/>
    <n v="1"/>
    <n v="1.6404791283958969E-2"/>
    <m/>
    <m/>
    <m/>
    <m/>
    <m/>
    <m/>
    <m/>
    <m/>
    <m/>
    <m/>
    <s v=""/>
    <n v="0"/>
    <s v=""/>
    <s v=""/>
    <s v=""/>
    <s v=""/>
    <m/>
    <m/>
  </r>
  <r>
    <s v="{E1F6BB79-E5E5-40FC-875F-2BAF106162A0}"/>
    <s v="Berlin STPG SGNL(40)"/>
    <s v="VTrans"/>
    <s v="Vtrans TS4"/>
    <m/>
    <m/>
    <n v="0.17"/>
    <n v="0.16"/>
    <n v="0.4"/>
    <s v="7066-INDS"/>
    <s v="S/N 001"/>
    <m/>
    <m/>
    <m/>
    <x v="0"/>
    <m/>
    <x v="6"/>
    <m/>
    <m/>
    <m/>
    <x v="1"/>
    <x v="1"/>
    <s v="Yes"/>
    <x v="1"/>
    <n v="0.21"/>
    <x v="2"/>
    <s v="Total Pervious"/>
    <m/>
    <m/>
    <m/>
    <m/>
    <n v="0.19"/>
    <s v="Developed Pervious "/>
    <n v="8"/>
    <n v="0.09"/>
    <n v="3"/>
    <n v="248"/>
    <n v="240"/>
    <m/>
    <n v="184.5864"/>
    <m/>
    <s v="D"/>
    <s v="D"/>
    <n v="0.21378169697449356"/>
    <n v="0.22804730444775159"/>
    <n v="3.9999999999999994E-2"/>
    <n v="0.1402365222387579"/>
    <n v="2.5609460889550316E-2"/>
    <n v="5.4748340075699902E-3"/>
    <n v="0"/>
    <s v="No"/>
    <m/>
    <n v="1"/>
    <n v="5.4748340075699902E-3"/>
    <m/>
    <m/>
    <m/>
    <m/>
    <m/>
    <m/>
    <m/>
    <m/>
    <m/>
    <m/>
    <s v=""/>
    <n v="0"/>
    <s v=""/>
    <s v=""/>
    <s v=""/>
    <s v=""/>
    <m/>
    <m/>
  </r>
  <r>
    <s v="{492F4F41-17A8-4A56-9261-35F2D1FF99E3}"/>
    <s v="Colchester HES 0281(28)"/>
    <s v="VTrans"/>
    <s v="Vtrans TS4"/>
    <m/>
    <m/>
    <n v="0.33300000000000002"/>
    <n v="0"/>
    <n v="0.88"/>
    <s v="7427-INDS"/>
    <s v="S/N 001"/>
    <m/>
    <m/>
    <m/>
    <x v="0"/>
    <m/>
    <x v="6"/>
    <m/>
    <m/>
    <m/>
    <x v="5"/>
    <x v="0"/>
    <s v="Yes"/>
    <x v="1"/>
    <n v="0.37"/>
    <x v="1"/>
    <s v="Total Pervious"/>
    <m/>
    <m/>
    <m/>
    <m/>
    <n v="0.51"/>
    <s v="Developed Pervious "/>
    <n v="8"/>
    <n v="0.16"/>
    <n v="4"/>
    <n v="534"/>
    <n v="170"/>
    <m/>
    <n v="738.20159999999998"/>
    <m/>
    <s v="A"/>
    <s v="A"/>
    <n v="0.24680759149435869"/>
    <n v="0.46436015798222979"/>
    <n v="4.0000000000000008E-2"/>
    <n v="0.32180078991114891"/>
    <n v="6.2872031596445957E-2"/>
    <n v="1.5517294690676045E-2"/>
    <n v="0"/>
    <s v="No"/>
    <m/>
    <n v="1"/>
    <n v="1.5517294690676045E-2"/>
    <m/>
    <m/>
    <m/>
    <m/>
    <m/>
    <m/>
    <m/>
    <m/>
    <m/>
    <m/>
    <s v=""/>
    <n v="0"/>
    <s v=""/>
    <s v=""/>
    <s v=""/>
    <s v=""/>
    <m/>
    <m/>
  </r>
  <r>
    <s v="{58EE0A33-3BB7-470B-82F4-17128DA4EC47}"/>
    <s v="Hyde Park HES 030-2(23) roundabout"/>
    <s v="VTrans"/>
    <s v="Vtrans TS4"/>
    <m/>
    <m/>
    <n v="0.21"/>
    <n v="1.1499999999999999"/>
    <n v="0.39"/>
    <s v="6263-INDS"/>
    <s v="S/N 001"/>
    <m/>
    <m/>
    <m/>
    <x v="0"/>
    <m/>
    <x v="6"/>
    <m/>
    <m/>
    <m/>
    <x v="5"/>
    <x v="0"/>
    <s v="Yes"/>
    <x v="6"/>
    <n v="0.27"/>
    <x v="1"/>
    <s v="Total Pervious"/>
    <m/>
    <m/>
    <m/>
    <m/>
    <n v="0.12"/>
    <s v="Developed Pervious "/>
    <n v="8"/>
    <n v="1.33"/>
    <n v="4"/>
    <n v="78"/>
    <m/>
    <m/>
    <n v="1756.4"/>
    <m/>
    <s v="C"/>
    <s v="C"/>
    <n v="0.18010283703642391"/>
    <n v="1.5099731336080986"/>
    <n v="5.0000000000000044E-2"/>
    <n v="1.9946267216197189E-2"/>
    <n v="0.53099731336080991"/>
    <n v="9.563412259500087E-2"/>
    <n v="0"/>
    <s v="No"/>
    <m/>
    <n v="1"/>
    <n v="9.563412259500087E-2"/>
    <m/>
    <m/>
    <m/>
    <m/>
    <m/>
    <m/>
    <m/>
    <m/>
    <m/>
    <m/>
    <s v=""/>
    <n v="0"/>
    <s v=""/>
    <s v=""/>
    <s v=""/>
    <s v=""/>
    <m/>
    <m/>
  </r>
  <r>
    <s v="{07C12FF0-27AE-4AC4-A454-ECFBBCD26639}"/>
    <s v="Hyde Park HES 030-2(23) roundabout"/>
    <s v="VTrans"/>
    <s v="Vtrans TS4"/>
    <m/>
    <m/>
    <n v="0.21"/>
    <n v="1.1499999999999999"/>
    <n v="0.62"/>
    <s v="6263-INDS"/>
    <s v="S/N 001"/>
    <m/>
    <m/>
    <m/>
    <x v="0"/>
    <m/>
    <x v="6"/>
    <m/>
    <m/>
    <m/>
    <x v="5"/>
    <x v="0"/>
    <s v="Yes"/>
    <x v="1"/>
    <n v="0.21"/>
    <x v="1"/>
    <s v="Total Pervious"/>
    <m/>
    <m/>
    <m/>
    <m/>
    <n v="0.41"/>
    <s v="Developed Pervious "/>
    <n v="8"/>
    <n v="0.09"/>
    <n v="3"/>
    <n v="478"/>
    <n v="236"/>
    <m/>
    <n v="355.77539999999999"/>
    <m/>
    <s v="A"/>
    <s v="A"/>
    <n v="0.14007998436166302"/>
    <n v="0.38356774809859145"/>
    <n v="3.9999999999999994E-2"/>
    <n v="0.91783874049295722"/>
    <n v="5.6713549619718279E-2"/>
    <n v="7.9444331438245364E-3"/>
    <n v="0"/>
    <s v="No"/>
    <m/>
    <n v="1"/>
    <n v="7.9444331438245364E-3"/>
    <m/>
    <m/>
    <m/>
    <m/>
    <m/>
    <m/>
    <m/>
    <m/>
    <m/>
    <m/>
    <s v=""/>
    <n v="0"/>
    <s v=""/>
    <s v=""/>
    <s v=""/>
    <s v=""/>
    <m/>
    <m/>
  </r>
  <r>
    <s v="{9FB0C900-3BA0-4A18-B307-12ED772F1868}"/>
    <s v="Morrisville Garage Infiltratration Chamber "/>
    <s v="VTrans"/>
    <s v="Vtrans TS4"/>
    <m/>
    <m/>
    <n v="0"/>
    <n v="0"/>
    <n v="1.3"/>
    <s v="NA"/>
    <s v="NA"/>
    <m/>
    <m/>
    <m/>
    <x v="0"/>
    <m/>
    <x v="7"/>
    <m/>
    <m/>
    <m/>
    <x v="5"/>
    <x v="0"/>
    <s v="Yes"/>
    <x v="9"/>
    <n v="1.3"/>
    <x v="0"/>
    <s v="Total Pervious"/>
    <m/>
    <m/>
    <m/>
    <m/>
    <n v="1.0000000000000001E-5"/>
    <s v="Developed Pervious "/>
    <m/>
    <m/>
    <m/>
    <m/>
    <m/>
    <m/>
    <n v="1737"/>
    <s v="8.27 in/hr"/>
    <s v="A"/>
    <s v="A"/>
    <n v="1.0531459097427049"/>
    <n v="0.36808615669525346"/>
    <n v="0.18999999999999995"/>
    <n v="0.84043078347626721"/>
    <n v="0.65968184886049075"/>
    <n v="0.69474124085893108"/>
    <n v="0"/>
    <s v="No"/>
    <m/>
    <n v="1"/>
    <n v="0.69474124085893108"/>
    <m/>
    <m/>
    <m/>
    <m/>
    <m/>
    <m/>
    <m/>
    <m/>
    <m/>
    <m/>
    <s v=""/>
    <n v="0"/>
    <s v=""/>
    <s v=""/>
    <s v=""/>
    <s v=""/>
    <m/>
    <m/>
  </r>
  <r>
    <s v="{5B435A82-963C-480F-BB57-5309B8FA9306}"/>
    <s v="Milton IM 089-3(66)"/>
    <s v="VTrans"/>
    <s v="Vtrans TS4"/>
    <m/>
    <m/>
    <n v="0.12"/>
    <n v="0"/>
    <n v="1.72"/>
    <s v="7016-INDS.A"/>
    <s v="S/N 001"/>
    <m/>
    <m/>
    <m/>
    <x v="0"/>
    <m/>
    <x v="8"/>
    <m/>
    <m/>
    <m/>
    <x v="5"/>
    <x v="0"/>
    <s v="Yes"/>
    <x v="1"/>
    <n v="0.12"/>
    <x v="1"/>
    <s v="Total Pervious"/>
    <m/>
    <m/>
    <m/>
    <m/>
    <n v="1.6"/>
    <s v="Developed Pervious "/>
    <n v="2"/>
    <n v="0.09"/>
    <n v="5.65"/>
    <n v="200"/>
    <n v="197"/>
    <m/>
    <n v="45.152999999999999"/>
    <m/>
    <s v="A"/>
    <s v="A"/>
    <n v="8.0045705349521726E-2"/>
    <n v="7.64486470580302E-2"/>
    <n v="0.02"/>
    <s v=""/>
    <s v=""/>
    <s v=""/>
    <n v="0"/>
    <s v="No"/>
    <m/>
    <n v="1"/>
    <s v=""/>
    <m/>
    <m/>
    <m/>
    <m/>
    <m/>
    <m/>
    <m/>
    <m/>
    <m/>
    <m/>
    <s v=""/>
    <n v="0"/>
    <s v=""/>
    <s v=""/>
    <s v=""/>
    <s v=""/>
    <m/>
    <m/>
  </r>
  <r>
    <s v="{DD544FC8-2332-4BAA-AC88-47DFD8F905DD}"/>
    <s v="Milton IM 089-3(66)"/>
    <s v="VTrans"/>
    <s v="Vtrans TS4"/>
    <m/>
    <m/>
    <n v="0.19"/>
    <n v="0"/>
    <n v="1.1299999999999999"/>
    <s v="7016-INDS.A"/>
    <s v="S/N 002"/>
    <m/>
    <m/>
    <m/>
    <x v="0"/>
    <m/>
    <x v="8"/>
    <m/>
    <m/>
    <m/>
    <x v="5"/>
    <x v="0"/>
    <s v="Yes"/>
    <x v="1"/>
    <n v="0.19"/>
    <x v="1"/>
    <s v="Total Pervious"/>
    <m/>
    <m/>
    <m/>
    <m/>
    <n v="0.94"/>
    <s v="Developed Pervious "/>
    <n v="2"/>
    <n v="0.15"/>
    <n v="2.52"/>
    <n v="300"/>
    <n v="214"/>
    <m/>
    <n v="107.01"/>
    <m/>
    <s v="A"/>
    <s v="A"/>
    <n v="0.12673903347007609"/>
    <n v="0.12893401221006415"/>
    <n v="3.0000000000000002E-2"/>
    <n v="0.28934012210064142"/>
    <n v="8.6802036630192429E-3"/>
    <n v="1.1001206225744729E-3"/>
    <n v="0"/>
    <s v="No"/>
    <m/>
    <n v="1"/>
    <n v="1.1001206225744729E-3"/>
    <m/>
    <m/>
    <m/>
    <m/>
    <m/>
    <m/>
    <m/>
    <m/>
    <m/>
    <m/>
    <s v=""/>
    <n v="0"/>
    <s v=""/>
    <s v=""/>
    <s v=""/>
    <s v=""/>
    <m/>
    <m/>
  </r>
  <r>
    <s v="{882FD75B-A6FA-4FF2-93E2-09F4B3C58A59}"/>
    <s v="Milton IM 089-3(66)"/>
    <s v="VTrans"/>
    <s v="Vtrans TS4"/>
    <m/>
    <m/>
    <n v="0.27"/>
    <n v="0"/>
    <n v="0.97"/>
    <s v="7016-INDS.A"/>
    <s v="S/N 003/4"/>
    <m/>
    <m/>
    <m/>
    <x v="0"/>
    <m/>
    <x v="8"/>
    <m/>
    <m/>
    <m/>
    <x v="5"/>
    <x v="0"/>
    <s v="Yes"/>
    <x v="1"/>
    <n v="0.27"/>
    <x v="1"/>
    <s v="Total Pervious"/>
    <m/>
    <m/>
    <m/>
    <m/>
    <n v="0.7"/>
    <s v="Developed Pervious "/>
    <n v="2"/>
    <n v="0.3"/>
    <n v="2.85"/>
    <n v="350"/>
    <n v="197"/>
    <m/>
    <n v="299.77499999999998"/>
    <m/>
    <s v="A"/>
    <s v="A"/>
    <n v="0.18010283703642391"/>
    <n v="0.2555806758696153"/>
    <n v="3.9999999999999994E-2"/>
    <n v="0.27790337934807646"/>
    <n v="3.111613517392306E-2"/>
    <n v="5.6041042224324027E-3"/>
    <n v="0"/>
    <s v="No"/>
    <m/>
    <n v="1"/>
    <n v="5.6041042224324027E-3"/>
    <m/>
    <m/>
    <m/>
    <m/>
    <m/>
    <m/>
    <m/>
    <m/>
    <m/>
    <m/>
    <s v=""/>
    <n v="0"/>
    <s v=""/>
    <s v=""/>
    <s v=""/>
    <s v=""/>
    <m/>
    <m/>
  </r>
  <r>
    <s v="{7F0C995E-0143-4B08-BEE8-0508EB9476DE}"/>
    <s v="Milton IM 089-3(66)"/>
    <s v="VTrans"/>
    <s v="Vtrans TS4"/>
    <m/>
    <m/>
    <n v="0.21"/>
    <n v="0"/>
    <n v="0.43"/>
    <s v="7016-INDS.A"/>
    <s v="S/N 005"/>
    <m/>
    <m/>
    <m/>
    <x v="0"/>
    <m/>
    <x v="8"/>
    <m/>
    <m/>
    <m/>
    <x v="5"/>
    <x v="0"/>
    <s v="Yes"/>
    <x v="1"/>
    <n v="0.22"/>
    <x v="1"/>
    <s v="Total Pervious"/>
    <m/>
    <m/>
    <m/>
    <m/>
    <n v="0.21"/>
    <s v="Developed Pervious "/>
    <n v="2"/>
    <n v="0.24"/>
    <n v="2"/>
    <n v="300"/>
    <n v="280"/>
    <m/>
    <n v="178.55999999999997"/>
    <m/>
    <s v="A"/>
    <s v="A"/>
    <n v="0.14675045980745652"/>
    <n v="0.21079703376184999"/>
    <n v="3.9999999999999994E-2"/>
    <n v="5.3985168809249917E-2"/>
    <n v="2.2159406752369996E-2"/>
    <n v="3.2519031299707538E-3"/>
    <n v="0"/>
    <s v="No"/>
    <m/>
    <n v="1"/>
    <n v="3.2519031299707538E-3"/>
    <m/>
    <m/>
    <m/>
    <m/>
    <m/>
    <m/>
    <m/>
    <m/>
    <m/>
    <m/>
    <s v=""/>
    <n v="0"/>
    <s v=""/>
    <s v=""/>
    <s v=""/>
    <s v=""/>
    <m/>
    <m/>
  </r>
  <r>
    <s v="{263919A0-FE77-4876-8DAB-1A8CEA56DE1C}"/>
    <s v="Milton IM 089-3(66)"/>
    <s v="VTrans"/>
    <s v="Vtrans TS4"/>
    <m/>
    <m/>
    <n v="0.2"/>
    <n v="0"/>
    <n v="0.38"/>
    <s v="7016-INDS.A"/>
    <s v="S/N 006"/>
    <m/>
    <m/>
    <m/>
    <x v="0"/>
    <m/>
    <x v="8"/>
    <m/>
    <m/>
    <m/>
    <x v="5"/>
    <x v="0"/>
    <s v="Yes"/>
    <x v="1"/>
    <n v="0.23"/>
    <x v="1"/>
    <s v="Total Pervious"/>
    <m/>
    <m/>
    <m/>
    <m/>
    <n v="0.15"/>
    <s v="Developed Pervious "/>
    <n v="2"/>
    <n v="0.25"/>
    <n v="2"/>
    <n v="290"/>
    <n v="250"/>
    <m/>
    <n v="181.25"/>
    <m/>
    <s v="A"/>
    <s v="A"/>
    <n v="0.15342093525324998"/>
    <n v="0.20852918972739215"/>
    <n v="3.9999999999999994E-2"/>
    <n v="4.2645948636960695E-2"/>
    <n v="2.1705837945478427E-2"/>
    <n v="3.3301299580507822E-3"/>
    <n v="0"/>
    <s v="No"/>
    <m/>
    <n v="1"/>
    <n v="3.3301299580507822E-3"/>
    <m/>
    <m/>
    <m/>
    <m/>
    <m/>
    <m/>
    <m/>
    <m/>
    <m/>
    <m/>
    <s v=""/>
    <n v="0"/>
    <s v=""/>
    <s v=""/>
    <s v=""/>
    <s v=""/>
    <m/>
    <m/>
  </r>
  <r>
    <s v="{EDF27943-3915-40AA-A55A-E98EF1D20F84}"/>
    <s v="Milton IM 089-3(66)"/>
    <s v="VTrans"/>
    <s v="Vtrans TS4"/>
    <m/>
    <m/>
    <n v="0.08"/>
    <n v="0"/>
    <n v="0.18"/>
    <s v="7016-INDS.A"/>
    <s v="S/N 007"/>
    <m/>
    <m/>
    <m/>
    <x v="0"/>
    <m/>
    <x v="8"/>
    <m/>
    <m/>
    <m/>
    <x v="5"/>
    <x v="0"/>
    <s v="Yes"/>
    <x v="1"/>
    <n v="0.12"/>
    <x v="1"/>
    <s v="Total Pervious"/>
    <m/>
    <m/>
    <m/>
    <m/>
    <n v="0.06"/>
    <s v="Developed Pervious "/>
    <n v="2"/>
    <n v="0.16"/>
    <n v="2"/>
    <n v="160"/>
    <n v="160"/>
    <m/>
    <n v="59.391999999999996"/>
    <m/>
    <s v="A"/>
    <s v="A"/>
    <n v="8.0045705349521726E-2"/>
    <n v="0.13351712435750951"/>
    <n v="3.0000000000000002E-2"/>
    <n v="0.33517124357509503"/>
    <n v="1.0055137307252852E-2"/>
    <n v="8.0487055814534511E-4"/>
    <n v="0"/>
    <s v="No"/>
    <m/>
    <n v="1"/>
    <n v="8.0487055814534511E-4"/>
    <m/>
    <m/>
    <m/>
    <m/>
    <m/>
    <m/>
    <m/>
    <m/>
    <m/>
    <m/>
    <s v=""/>
    <n v="0"/>
    <s v=""/>
    <s v=""/>
    <s v=""/>
    <s v=""/>
    <m/>
    <m/>
  </r>
  <r>
    <s v="{289EFE59-7BFA-46DF-8CC8-538FC837B266}"/>
    <s v="Milton IM 089-3(66)"/>
    <s v="VTrans"/>
    <s v="Vtrans TS4"/>
    <m/>
    <m/>
    <n v="0.2"/>
    <n v="0"/>
    <n v="0.42"/>
    <s v="7016-INDS.A"/>
    <s v="S/N 009"/>
    <m/>
    <m/>
    <m/>
    <x v="0"/>
    <m/>
    <x v="8"/>
    <m/>
    <m/>
    <m/>
    <x v="5"/>
    <x v="0"/>
    <s v="Yes"/>
    <x v="1"/>
    <n v="0.16"/>
    <x v="1"/>
    <s v="Total Pervious"/>
    <m/>
    <m/>
    <m/>
    <m/>
    <n v="0.26"/>
    <s v="Developed Pervious "/>
    <n v="2"/>
    <n v="0.25"/>
    <n v="2"/>
    <n v="203"/>
    <n v="215"/>
    <m/>
    <n v="126.875"/>
    <m/>
    <s v="A"/>
    <s v="D"/>
    <n v="0.10672760713269565"/>
    <n v="0.19894480931079295"/>
    <n v="3.0000000000000002E-2"/>
    <n v="0.98944809310792936"/>
    <n v="2.9683442793237882E-2"/>
    <n v="3.1680428207825385E-3"/>
    <n v="0"/>
    <s v="No"/>
    <m/>
    <n v="1"/>
    <n v="3.1680428207825385E-3"/>
    <m/>
    <m/>
    <m/>
    <m/>
    <m/>
    <m/>
    <m/>
    <m/>
    <m/>
    <m/>
    <s v=""/>
    <n v="0"/>
    <s v=""/>
    <s v=""/>
    <s v=""/>
    <s v=""/>
    <m/>
    <m/>
  </r>
  <r>
    <s v="{B69D1207-C3BA-4744-8AE7-0BF4C487BD60}"/>
    <s v="Charlotte F EGC 019-4(20)"/>
    <s v="VTrans"/>
    <s v="Vtrans TS4"/>
    <m/>
    <m/>
    <n v="0.44"/>
    <n v="1.32"/>
    <n v="2.39"/>
    <s v="3438-INDS.R"/>
    <s v="S/N 001"/>
    <m/>
    <m/>
    <m/>
    <x v="0"/>
    <m/>
    <x v="9"/>
    <m/>
    <m/>
    <m/>
    <x v="6"/>
    <x v="3"/>
    <s v="Yes"/>
    <x v="1"/>
    <n v="0.98"/>
    <x v="2"/>
    <s v="Total Pervious"/>
    <m/>
    <m/>
    <m/>
    <m/>
    <n v="1.41"/>
    <s v="Forest"/>
    <n v="3"/>
    <n v="0.32"/>
    <n v="3"/>
    <n v="500"/>
    <n v="473"/>
    <m/>
    <n v="633.6"/>
    <m/>
    <m/>
    <m/>
    <n v="1.7403116554556008"/>
    <n v="0.16587641687666402"/>
    <n v="3.0000000000000002E-2"/>
    <n v="0.65876416876664012"/>
    <n v="1.9762925062999204E-2"/>
    <n v="3.4393648833033127E-2"/>
    <n v="0"/>
    <s v="No"/>
    <m/>
    <n v="0.96938775510204078"/>
    <n v="3.4393648833033127E-2"/>
    <m/>
    <m/>
    <m/>
    <m/>
    <m/>
    <m/>
    <m/>
    <m/>
    <m/>
    <m/>
    <s v=""/>
    <n v="0"/>
    <s v=""/>
    <s v=""/>
    <s v=""/>
    <s v=""/>
    <m/>
    <s v="Grass Swale 1A. "/>
  </r>
  <r>
    <s v="{8D1652A1-F5B3-445A-9E6C-0347922F70D7}"/>
    <s v="Charlotte F EGC 019-4(20)"/>
    <s v="VTrans"/>
    <s v="Vtrans TS4"/>
    <m/>
    <m/>
    <n v="0.56999999999999995"/>
    <n v="2.02"/>
    <n v="5.52"/>
    <s v="3438-INDS.R"/>
    <s v="S/N 002A"/>
    <m/>
    <m/>
    <m/>
    <x v="0"/>
    <m/>
    <x v="9"/>
    <m/>
    <m/>
    <m/>
    <x v="6"/>
    <x v="3"/>
    <s v="Yes"/>
    <x v="1"/>
    <n v="1.23"/>
    <x v="2"/>
    <s v="Total Pervious"/>
    <m/>
    <m/>
    <m/>
    <m/>
    <n v="4.29"/>
    <s v="Developed Pervious "/>
    <n v="3"/>
    <n v="0.36"/>
    <n v="3"/>
    <n v="590"/>
    <n v="520"/>
    <m/>
    <n v="866.59199999999998"/>
    <m/>
    <m/>
    <m/>
    <n v="1.477803344348835"/>
    <n v="0.16480149238032205"/>
    <n v="3.0000000000000002E-2"/>
    <n v="0.64801492380322034"/>
    <n v="1.9440447714096611E-2"/>
    <n v="2.8729158647530638E-2"/>
    <n v="0"/>
    <s v="No"/>
    <m/>
    <n v="0.53658536585365857"/>
    <n v="2.8729158647530638E-2"/>
    <m/>
    <m/>
    <m/>
    <m/>
    <m/>
    <m/>
    <m/>
    <m/>
    <m/>
    <m/>
    <s v=""/>
    <n v="0"/>
    <s v=""/>
    <s v=""/>
    <s v=""/>
    <s v=""/>
    <m/>
    <s v="Grass Swale 2A. "/>
  </r>
  <r>
    <s v="{C2FCB9C3-B0A4-4FA7-AD29-27493C4C8686}"/>
    <s v="Charlotte F EGC 019-4(20)"/>
    <s v="VTrans"/>
    <s v="Vtrans TS4"/>
    <m/>
    <m/>
    <n v="0.56999999999999995"/>
    <n v="2.02"/>
    <n v="0.48"/>
    <s v="3438-INDS.R"/>
    <s v="S/N 002B"/>
    <m/>
    <m/>
    <m/>
    <x v="0"/>
    <m/>
    <x v="9"/>
    <m/>
    <m/>
    <m/>
    <x v="6"/>
    <x v="3"/>
    <s v="Yes"/>
    <x v="1"/>
    <n v="0.22"/>
    <x v="1"/>
    <s v="Total Pervious"/>
    <m/>
    <m/>
    <m/>
    <m/>
    <n v="0.26"/>
    <s v="Developed Pervious "/>
    <n v="3"/>
    <n v="0.28999999999999998"/>
    <n v="3"/>
    <n v="200"/>
    <n v="160"/>
    <m/>
    <n v="224.45999999999998"/>
    <m/>
    <m/>
    <m/>
    <n v="0.17666224281533327"/>
    <n v="0.25776752897342753"/>
    <n v="3.9999999999999994E-2"/>
    <n v="0.28883764486713759"/>
    <n v="3.15535057946855E-2"/>
    <n v="5.5743131023757555E-3"/>
    <n v="0"/>
    <s v="No"/>
    <m/>
    <n v="1"/>
    <n v="5.5743131023757555E-3"/>
    <m/>
    <m/>
    <m/>
    <m/>
    <m/>
    <m/>
    <m/>
    <m/>
    <m/>
    <m/>
    <s v=""/>
    <n v="0"/>
    <s v=""/>
    <s v=""/>
    <s v=""/>
    <s v=""/>
    <m/>
    <s v="Grass Swale 2B"/>
  </r>
  <r>
    <s v="{1DD24C2B-E38E-4FF5-87D1-CE8B4738C910}"/>
    <s v="Charlotte F EGC 019-4(20)"/>
    <s v="VTrans"/>
    <s v="Vtrans TS4"/>
    <m/>
    <m/>
    <n v="0.56999999999999995"/>
    <n v="2.02"/>
    <n v="1.08"/>
    <s v="3438-INDS.R"/>
    <s v="S/N 002B"/>
    <m/>
    <m/>
    <m/>
    <x v="0"/>
    <m/>
    <x v="9"/>
    <m/>
    <m/>
    <m/>
    <x v="6"/>
    <x v="3"/>
    <s v="Yes"/>
    <x v="1"/>
    <n v="0.27"/>
    <x v="1"/>
    <s v="Total Pervious"/>
    <m/>
    <m/>
    <m/>
    <m/>
    <n v="0.81"/>
    <s v="Developed Pervious "/>
    <n v="3"/>
    <n v="0.21"/>
    <n v="3"/>
    <n v="195"/>
    <n v="185"/>
    <m/>
    <n v="148.64849999999998"/>
    <m/>
    <m/>
    <m/>
    <n v="0.21681275254609084"/>
    <n v="0.13447091150691107"/>
    <n v="3.0000000000000002E-2"/>
    <n v="0.34470911506911062"/>
    <n v="1.034127345207332E-2"/>
    <n v="2.2421199619758313E-3"/>
    <n v="0"/>
    <s v="No"/>
    <m/>
    <n v="0.92592592592592582"/>
    <n v="2.2421199619758313E-3"/>
    <m/>
    <m/>
    <m/>
    <m/>
    <m/>
    <m/>
    <m/>
    <m/>
    <m/>
    <m/>
    <s v=""/>
    <n v="0"/>
    <s v=""/>
    <s v=""/>
    <s v=""/>
    <s v=""/>
    <m/>
    <s v="Grass Swale 2C"/>
  </r>
  <r>
    <s v="{6D67B0C9-E5EC-4C8B-8424-E9FD0A08702F}"/>
    <s v="Charlotte F EGC 019-4(20)"/>
    <s v="VTrans"/>
    <s v="Vtrans TS4"/>
    <m/>
    <m/>
    <n v="2.34"/>
    <n v="7.97"/>
    <n v="1.0900000000000001"/>
    <s v="3438-INDS.R"/>
    <s v="S/N 003a"/>
    <m/>
    <m/>
    <m/>
    <x v="0"/>
    <m/>
    <x v="9"/>
    <m/>
    <m/>
    <m/>
    <x v="6"/>
    <x v="3"/>
    <s v="Yes"/>
    <x v="1"/>
    <n v="0.43"/>
    <x v="4"/>
    <s v="Total Pervious"/>
    <m/>
    <m/>
    <m/>
    <m/>
    <n v="0.66"/>
    <s v="Developed Pervious "/>
    <n v="3"/>
    <n v="0.37"/>
    <n v="3"/>
    <n v="200"/>
    <n v="192"/>
    <m/>
    <n v="304.13999999999993"/>
    <m/>
    <m/>
    <m/>
    <n v="0.24936182913660271"/>
    <n v="0.17967114279688914"/>
    <n v="3.0000000000000002E-2"/>
    <n v="0.79671142796889138"/>
    <n v="2.3901342839066742E-2"/>
    <n v="5.9600825691707238E-3"/>
    <n v="0"/>
    <s v="No"/>
    <m/>
    <n v="1"/>
    <n v="5.9600825691707238E-3"/>
    <m/>
    <m/>
    <m/>
    <m/>
    <m/>
    <m/>
    <m/>
    <m/>
    <m/>
    <m/>
    <s v=""/>
    <n v="0"/>
    <s v=""/>
    <s v=""/>
    <s v=""/>
    <s v=""/>
    <m/>
    <s v="Grass Swale 3A"/>
  </r>
  <r>
    <s v="{0DA95418-C12B-4CB7-A4EC-F9B7ACDD2180}"/>
    <s v="Charlotte F EGC 019-4(20)"/>
    <s v="VTrans"/>
    <s v="Vtrans TS4"/>
    <m/>
    <m/>
    <n v="2.34"/>
    <n v="7.97"/>
    <n v="15.28"/>
    <s v="3438-INDS.R"/>
    <s v="S/N 003B"/>
    <m/>
    <m/>
    <m/>
    <x v="0"/>
    <m/>
    <x v="9"/>
    <m/>
    <m/>
    <m/>
    <x v="6"/>
    <x v="3"/>
    <s v="Yes"/>
    <x v="1"/>
    <n v="0.35"/>
    <x v="2"/>
    <s v="Total Pervious"/>
    <m/>
    <m/>
    <m/>
    <m/>
    <n v="19.72"/>
    <s v="Developed Pervious "/>
    <n v="4"/>
    <n v="0.39"/>
    <n v="3"/>
    <n v="420"/>
    <n v="420"/>
    <m/>
    <n v="846.84600000000012"/>
    <m/>
    <m/>
    <m/>
    <n v="0.4205131467659286"/>
    <n v="0.16921083266686002"/>
    <n v="3.0000000000000002E-2"/>
    <n v="0.69210832666860012"/>
    <n v="2.0763249800058003E-2"/>
    <n v="8.7312195105094283E-3"/>
    <n v="0"/>
    <s v="No"/>
    <m/>
    <n v="1"/>
    <n v="8.7312195105094283E-3"/>
    <m/>
    <m/>
    <m/>
    <m/>
    <m/>
    <m/>
    <m/>
    <m/>
    <m/>
    <m/>
    <s v=""/>
    <n v="0"/>
    <s v=""/>
    <s v=""/>
    <s v=""/>
    <s v=""/>
    <m/>
    <s v="Grass Swale 3B"/>
  </r>
  <r>
    <s v="{1EDB5172-CB05-466F-B5AC-45E5FF3ACA10}"/>
    <s v="Charlotte F EGC 019-4(20)"/>
    <s v="VTrans"/>
    <s v="Vtrans TS4"/>
    <m/>
    <m/>
    <n v="2.34"/>
    <n v="7.97"/>
    <n v="0.67"/>
    <s v="3438-INDS.R"/>
    <s v="S/N 003B"/>
    <m/>
    <m/>
    <m/>
    <x v="0"/>
    <m/>
    <x v="9"/>
    <m/>
    <m/>
    <m/>
    <x v="6"/>
    <x v="3"/>
    <s v="Yes"/>
    <x v="1"/>
    <n v="0.35"/>
    <x v="2"/>
    <s v="Total Pervious"/>
    <m/>
    <m/>
    <m/>
    <m/>
    <n v="0.32"/>
    <s v="Developed Pervious "/>
    <n v="3"/>
    <n v="0.24"/>
    <n v="3"/>
    <n v="712"/>
    <n v="323"/>
    <m/>
    <n v="635.67359999999996"/>
    <m/>
    <m/>
    <m/>
    <n v="0.4205131467659286"/>
    <n v="0.44768243824734583"/>
    <n v="4.0000000000000008E-2"/>
    <n v="0.23841219123672908"/>
    <n v="5.9536487649469172E-2"/>
    <n v="2.5035875768869127E-2"/>
    <n v="0"/>
    <s v="No"/>
    <m/>
    <n v="1"/>
    <n v="2.5035875768869127E-2"/>
    <m/>
    <m/>
    <m/>
    <m/>
    <m/>
    <m/>
    <m/>
    <m/>
    <m/>
    <m/>
    <s v=""/>
    <n v="0"/>
    <s v=""/>
    <s v=""/>
    <s v=""/>
    <s v=""/>
    <m/>
    <s v="Grass Swale 3C"/>
  </r>
  <r>
    <s v="{8A7B8ABB-D885-4AC4-A411-6BC88C224746}"/>
    <s v="Charlotte F EGC 019-4(20)"/>
    <s v="VTrans"/>
    <s v="Vtrans TS4"/>
    <m/>
    <m/>
    <n v="2.34"/>
    <n v="7.97"/>
    <n v="1.19"/>
    <s v="3438-INDS.R"/>
    <s v="S/N 003B"/>
    <m/>
    <m/>
    <m/>
    <x v="0"/>
    <m/>
    <x v="9"/>
    <m/>
    <m/>
    <m/>
    <x v="6"/>
    <x v="3"/>
    <s v="Yes"/>
    <x v="1"/>
    <n v="0.67"/>
    <x v="2"/>
    <s v="Total Pervious"/>
    <m/>
    <m/>
    <m/>
    <m/>
    <n v="0.52"/>
    <s v="Developed Pervious "/>
    <n v="2"/>
    <n v="0.37"/>
    <n v="3"/>
    <n v="620"/>
    <n v="519"/>
    <m/>
    <n v="713.43399999999986"/>
    <m/>
    <m/>
    <m/>
    <n v="0.80498230952334915"/>
    <n v="0.27589744825470752"/>
    <n v="3.9999999999999994E-2"/>
    <n v="0.37948724127353756"/>
    <n v="3.5179489650941503E-2"/>
    <n v="2.8318866827067652E-2"/>
    <n v="0"/>
    <s v="No"/>
    <m/>
    <n v="0.52238805970149249"/>
    <n v="2.8318866827067652E-2"/>
    <m/>
    <m/>
    <m/>
    <m/>
    <m/>
    <m/>
    <m/>
    <m/>
    <m/>
    <m/>
    <s v=""/>
    <n v="0"/>
    <s v=""/>
    <s v=""/>
    <s v=""/>
    <s v=""/>
    <m/>
    <s v="Grass Swale 3D"/>
  </r>
  <r>
    <s v="{D0A47CA0-E6BE-4B4F-B5C4-E321BA4BFDA1}"/>
    <s v="Charlotte F EGC 019-4(20)"/>
    <s v="VTrans"/>
    <s v="Vtrans TS4"/>
    <m/>
    <m/>
    <n v="2.34"/>
    <n v="7.97"/>
    <n v="8.52"/>
    <s v="3438-INDS.R"/>
    <s v="S/N 003B"/>
    <m/>
    <m/>
    <m/>
    <x v="0"/>
    <m/>
    <x v="9"/>
    <m/>
    <m/>
    <m/>
    <x v="6"/>
    <x v="3"/>
    <s v="Yes"/>
    <x v="1"/>
    <n v="1.64"/>
    <x v="2"/>
    <s v="Total Pervious"/>
    <m/>
    <m/>
    <m/>
    <m/>
    <n v="6.88"/>
    <s v="Developed Pervious "/>
    <n v="3.5"/>
    <n v="0.34"/>
    <n v="3"/>
    <n v="600"/>
    <n v="506"/>
    <m/>
    <n v="922.07999999999993"/>
    <m/>
    <m/>
    <m/>
    <n v="1.9704044591317798"/>
    <n v="0.13174363169324152"/>
    <n v="3.0000000000000002E-2"/>
    <n v="0.31743631693241514"/>
    <n v="9.5230895079724542E-3"/>
    <n v="1.876433803121999E-2"/>
    <n v="0"/>
    <s v="No"/>
    <m/>
    <n v="0.88414634146341464"/>
    <n v="1.876433803121999E-2"/>
    <m/>
    <m/>
    <m/>
    <m/>
    <m/>
    <m/>
    <m/>
    <m/>
    <m/>
    <m/>
    <s v=""/>
    <n v="0"/>
    <s v=""/>
    <s v=""/>
    <s v=""/>
    <s v=""/>
    <m/>
    <s v="Grass Swale 3E"/>
  </r>
  <r>
    <s v="{1D08C62A-A5D5-4281-9154-FA80EEE7FE81}"/>
    <s v="Charlotte F EGC 019-4(20)"/>
    <s v="VTrans"/>
    <s v="Vtrans TS4"/>
    <m/>
    <m/>
    <n v="2.34"/>
    <n v="7.97"/>
    <n v="6.94"/>
    <s v="3438-INDS.R"/>
    <s v="S/N 003C"/>
    <m/>
    <m/>
    <m/>
    <x v="0"/>
    <m/>
    <x v="9"/>
    <m/>
    <m/>
    <m/>
    <x v="6"/>
    <x v="3"/>
    <s v="Yes"/>
    <x v="1"/>
    <n v="1.44"/>
    <x v="4"/>
    <s v="Total Pervious"/>
    <m/>
    <m/>
    <m/>
    <m/>
    <n v="5.5"/>
    <s v="Forest"/>
    <n v="3"/>
    <n v="0.39"/>
    <n v="3"/>
    <n v="450"/>
    <n v="403"/>
    <m/>
    <n v="731.83500000000004"/>
    <m/>
    <m/>
    <m/>
    <n v="3.0306832676026296"/>
    <n v="0.12179529430681704"/>
    <n v="3.0000000000000002E-2"/>
    <n v="0.21795294306817037"/>
    <n v="6.5385882920451117E-3"/>
    <n v="1.9816390130443576E-2"/>
    <n v="0"/>
    <s v="No"/>
    <m/>
    <n v="0.61805555555555558"/>
    <n v="1.9816390130443576E-2"/>
    <m/>
    <m/>
    <m/>
    <m/>
    <m/>
    <m/>
    <m/>
    <m/>
    <m/>
    <m/>
    <s v=""/>
    <n v="0"/>
    <s v=""/>
    <s v=""/>
    <s v=""/>
    <s v=""/>
    <m/>
    <s v="Grass Swale 3F"/>
  </r>
  <r>
    <m/>
    <s v="Clarendon - Rutland Airport Runway 1 Safety Area and Taxiway E Relocation "/>
    <s v="VTrans"/>
    <s v="Vtrans TS4"/>
    <m/>
    <m/>
    <n v="2.6"/>
    <n v="0"/>
    <n v="47.8"/>
    <s v="3769-9015.A"/>
    <s v="S/N 001"/>
    <m/>
    <m/>
    <m/>
    <x v="0"/>
    <m/>
    <x v="9"/>
    <m/>
    <m/>
    <m/>
    <x v="3"/>
    <x v="3"/>
    <s v="Yes"/>
    <x v="3"/>
    <n v="2.6"/>
    <x v="0"/>
    <s v="Total Pervious"/>
    <m/>
    <m/>
    <m/>
    <m/>
    <n v="45.2"/>
    <s v="Developed Pervious "/>
    <m/>
    <m/>
    <m/>
    <m/>
    <m/>
    <n v="0.49"/>
    <n v="0"/>
    <m/>
    <s v="C"/>
    <s v="C"/>
    <n v="2.1269746237718397"/>
    <n v="0"/>
    <s v=""/>
    <s v=""/>
    <s v=""/>
    <s v=""/>
    <n v="1.0422175656482013"/>
    <s v="No"/>
    <m/>
    <n v="1"/>
    <n v="1.0422175656482013"/>
    <m/>
    <m/>
    <m/>
    <m/>
    <m/>
    <m/>
    <m/>
    <m/>
    <m/>
    <m/>
    <s v=""/>
    <n v="0"/>
    <s v=""/>
    <s v=""/>
    <s v=""/>
    <s v=""/>
    <m/>
    <s v="Add to map. Project constructed"/>
  </r>
  <r>
    <s v="{19E65ECD-FB44-42C2-8172-BCE19B51629F}"/>
    <s v="Clarendon - Rutland Airport Runway 1 Safety Area and Taxiway E Relocation "/>
    <s v="VTrans"/>
    <s v="Vtrans TS4"/>
    <m/>
    <m/>
    <n v="0.27"/>
    <n v="0"/>
    <n v="1"/>
    <s v="3769-9015.A"/>
    <s v="S/N 009"/>
    <m/>
    <m/>
    <m/>
    <x v="0"/>
    <m/>
    <x v="9"/>
    <m/>
    <m/>
    <m/>
    <x v="3"/>
    <x v="3"/>
    <s v="Yes"/>
    <x v="3"/>
    <n v="0.27"/>
    <x v="0"/>
    <s v="Total Pervious"/>
    <m/>
    <m/>
    <m/>
    <m/>
    <n v="0.73"/>
    <s v="Developed Pervious "/>
    <m/>
    <m/>
    <m/>
    <m/>
    <m/>
    <n v="0.74"/>
    <n v="0"/>
    <m/>
    <s v="A"/>
    <s v="A"/>
    <n v="0.22087813400707565"/>
    <n v="0"/>
    <s v=""/>
    <s v=""/>
    <s v=""/>
    <s v=""/>
    <n v="0.16344981916523599"/>
    <s v="No"/>
    <m/>
    <n v="1"/>
    <n v="0.16344981916523599"/>
    <m/>
    <m/>
    <m/>
    <m/>
    <m/>
    <m/>
    <m/>
    <m/>
    <m/>
    <m/>
    <s v=""/>
    <n v="0"/>
    <s v=""/>
    <s v=""/>
    <s v=""/>
    <s v=""/>
    <m/>
    <m/>
  </r>
  <r>
    <s v="{C631CD06-DD89-4270-A70D-C9246EB33691}"/>
    <s v="Colchester STP 5600(9) S"/>
    <s v="VTrans"/>
    <s v="Vtrans TS4"/>
    <m/>
    <m/>
    <n v="0.48"/>
    <n v="2.1"/>
    <n v="16.239999999999998"/>
    <s v="5132-9010"/>
    <s v="S/N 001"/>
    <m/>
    <m/>
    <m/>
    <x v="0"/>
    <m/>
    <x v="9"/>
    <m/>
    <m/>
    <m/>
    <x v="0"/>
    <x v="0"/>
    <s v="Yes"/>
    <x v="1"/>
    <n v="6.5"/>
    <x v="2"/>
    <s v="Total Pervious"/>
    <m/>
    <m/>
    <m/>
    <m/>
    <n v="9.74"/>
    <s v="Developed Pervious "/>
    <n v="5"/>
    <n v="0.37"/>
    <n v="3"/>
    <n v="800"/>
    <n v="330"/>
    <m/>
    <n v="5198"/>
    <m/>
    <s v="A"/>
    <s v="C/D"/>
    <n v="5.9888260965221383"/>
    <n v="0.2018175310089543"/>
    <n v="3.9999999999999994E-2"/>
    <n v="9.0876550447714644E-3"/>
    <n v="2.0363506201790858E-2"/>
    <n v="0.1219534973579755"/>
    <n v="0"/>
    <s v="No"/>
    <m/>
    <n v="1"/>
    <n v="0.1219534973579755"/>
    <m/>
    <m/>
    <m/>
    <m/>
    <m/>
    <m/>
    <m/>
    <m/>
    <m/>
    <m/>
    <s v=""/>
    <n v="0"/>
    <s v=""/>
    <s v=""/>
    <s v=""/>
    <s v=""/>
    <m/>
    <s v="Not sure how to credit the swale. Maximum swale credit."/>
  </r>
  <r>
    <s v="_x0009_{4B2FB1F2-31AC-448C-9BC1-B7FE5643EF7F}"/>
    <s v="Colchester STP 5600(9) S  "/>
    <s v="VTrans"/>
    <s v="Vtrans TS4"/>
    <m/>
    <m/>
    <n v="0.48"/>
    <n v="2.1"/>
    <n v="16.239999999999998"/>
    <s v="5132-9010"/>
    <s v="S/N 001"/>
    <m/>
    <m/>
    <m/>
    <x v="0"/>
    <m/>
    <x v="9"/>
    <m/>
    <m/>
    <m/>
    <x v="0"/>
    <x v="0"/>
    <s v="Yes"/>
    <x v="10"/>
    <n v="6.5"/>
    <x v="2"/>
    <s v="Total Pervious"/>
    <m/>
    <m/>
    <m/>
    <m/>
    <n v="9.74"/>
    <s v="Developed Pervious "/>
    <m/>
    <m/>
    <m/>
    <m/>
    <m/>
    <n v="0.125"/>
    <n v="259.90000000000003"/>
    <m/>
    <s v="A"/>
    <s v="C/D"/>
    <n v="5.9888260965221383"/>
    <n v="2.4618972996059214"/>
    <e v="#N/A"/>
    <s v=""/>
    <s v=""/>
    <s v=""/>
    <n v="0.74860326206526728"/>
    <s v="No"/>
    <m/>
    <n v="1"/>
    <n v="0.74860326206526728"/>
    <m/>
    <m/>
    <m/>
    <m/>
    <m/>
    <m/>
    <m/>
    <m/>
    <m/>
    <m/>
    <s v=""/>
    <n v="0"/>
    <s v=""/>
    <s v=""/>
    <s v=""/>
    <s v=""/>
    <m/>
    <m/>
  </r>
  <r>
    <s v="{5CDD7548-3E66-4E2C-BAD4-219196F16FCC}"/>
    <s v="Jericho STP HES 030-1(21)"/>
    <s v="VTrans"/>
    <s v="Vtrans TS4"/>
    <m/>
    <m/>
    <n v="0.39"/>
    <n v="0"/>
    <n v="1.37"/>
    <s v="6947-INDS.A"/>
    <s v="S/N 001"/>
    <m/>
    <m/>
    <m/>
    <x v="0"/>
    <m/>
    <x v="9"/>
    <m/>
    <m/>
    <m/>
    <x v="5"/>
    <x v="0"/>
    <s v="Yes"/>
    <x v="1"/>
    <n v="7.0000000000000007E-2"/>
    <x v="2"/>
    <s v="Total Pervious"/>
    <m/>
    <m/>
    <m/>
    <m/>
    <n v="1.3"/>
    <s v="Developed Pervious "/>
    <n v="4"/>
    <n v="0.25"/>
    <n v="4"/>
    <n v="525"/>
    <m/>
    <m/>
    <n v="656.25"/>
    <m/>
    <s v="A"/>
    <s v="A"/>
    <n v="7.235348227676941E-2"/>
    <n v="0.61142718330192891"/>
    <n v="4.0000000000000008E-2"/>
    <n v="5.7135916509644648E-2"/>
    <n v="9.2285436660385786E-2"/>
    <n v="6.6771727058111486E-3"/>
    <n v="0"/>
    <s v="No"/>
    <m/>
    <n v="1"/>
    <n v="6.6771727058111486E-3"/>
    <m/>
    <m/>
    <m/>
    <m/>
    <m/>
    <m/>
    <m/>
    <m/>
    <m/>
    <m/>
    <s v=""/>
    <n v="0"/>
    <s v=""/>
    <s v=""/>
    <s v=""/>
    <s v=""/>
    <m/>
    <s v="Grass Channel 1"/>
  </r>
  <r>
    <s v="{8217AEC2-67E5-44DE-924A-32A6A4FA161E}"/>
    <s v="Jericho STP HES 030-1(21)"/>
    <s v="VTrans"/>
    <s v="Vtrans TS4"/>
    <m/>
    <m/>
    <n v="0.39"/>
    <n v="0"/>
    <n v="3.48"/>
    <s v="6947-INDS.A"/>
    <s v="S/N 001"/>
    <m/>
    <m/>
    <m/>
    <x v="0"/>
    <m/>
    <x v="9"/>
    <m/>
    <m/>
    <m/>
    <x v="5"/>
    <x v="0"/>
    <s v="Yes"/>
    <x v="1"/>
    <n v="0.5"/>
    <x v="2"/>
    <s v="Total Pervious"/>
    <m/>
    <m/>
    <m/>
    <m/>
    <n v="0.98"/>
    <s v="Developed Pervious "/>
    <n v="4"/>
    <n v="0.08"/>
    <n v="4"/>
    <n v="400"/>
    <m/>
    <m/>
    <n v="138.24"/>
    <m/>
    <s v="A"/>
    <s v="A"/>
    <n v="0.51681058769121002"/>
    <n v="7.2524165231382443E-2"/>
    <n v="0.02"/>
    <s v=""/>
    <s v=""/>
    <s v=""/>
    <n v="0"/>
    <s v="No"/>
    <m/>
    <n v="1"/>
    <s v=""/>
    <m/>
    <m/>
    <m/>
    <m/>
    <m/>
    <m/>
    <m/>
    <m/>
    <m/>
    <m/>
    <s v=""/>
    <n v="0"/>
    <s v=""/>
    <s v=""/>
    <s v=""/>
    <s v=""/>
    <m/>
    <s v="Grass Channel 2. "/>
  </r>
  <r>
    <s v="{CAA57568-55D8-4F4B-A906-F6C1403760CC}"/>
    <s v="Jericho STP HES 030-1(21)"/>
    <s v="VTrans"/>
    <s v="Vtrans TS4"/>
    <m/>
    <m/>
    <n v="0.39"/>
    <n v="0"/>
    <n v="0.01"/>
    <s v="6947-INDS.A"/>
    <s v="S/N 001"/>
    <m/>
    <m/>
    <m/>
    <x v="0"/>
    <m/>
    <x v="9"/>
    <m/>
    <m/>
    <m/>
    <x v="5"/>
    <x v="0"/>
    <s v="Yes"/>
    <x v="3"/>
    <n v="0.12"/>
    <x v="2"/>
    <s v="Total Pervious"/>
    <m/>
    <m/>
    <m/>
    <m/>
    <n v="0"/>
    <s v="Developed Pervious "/>
    <m/>
    <m/>
    <m/>
    <m/>
    <m/>
    <n v="0.74"/>
    <n v="0"/>
    <m/>
    <s v="A"/>
    <s v="A"/>
    <n v="0.1240345410458904"/>
    <s v=""/>
    <s v=""/>
    <s v=""/>
    <s v=""/>
    <s v=""/>
    <n v="9.1785560373958894E-2"/>
    <s v="No"/>
    <m/>
    <n v="1"/>
    <n v="9.1785560373958894E-2"/>
    <m/>
    <m/>
    <m/>
    <m/>
    <m/>
    <m/>
    <m/>
    <m/>
    <m/>
    <m/>
    <s v=""/>
    <n v="0"/>
    <s v=""/>
    <s v=""/>
    <s v=""/>
    <s v=""/>
    <m/>
    <m/>
  </r>
  <r>
    <s v="{A6111B6E-DC06-49D3-A8E2-E418FE02AE0D}"/>
    <s v="Middlesex IM 089-2(41) (US2 over I-89)"/>
    <s v="VTrans"/>
    <s v="Vtrans TS4"/>
    <m/>
    <m/>
    <n v="0.9"/>
    <n v="0"/>
    <n v="1.52"/>
    <s v="7145-INDS"/>
    <s v="S/N 001"/>
    <m/>
    <m/>
    <m/>
    <x v="0"/>
    <m/>
    <x v="9"/>
    <m/>
    <m/>
    <m/>
    <x v="1"/>
    <x v="1"/>
    <s v="Yes"/>
    <x v="1"/>
    <n v="1.01"/>
    <x v="1"/>
    <s v="Total Pervious"/>
    <m/>
    <m/>
    <m/>
    <m/>
    <n v="0.51"/>
    <s v="Developed Pervious "/>
    <n v="2"/>
    <n v="0.34"/>
    <n v="3"/>
    <n v="300"/>
    <m/>
    <m/>
    <n v="308.04000000000002"/>
    <m/>
    <s v="A"/>
    <s v="A"/>
    <n v="0.66334826050372997"/>
    <n v="8.2829602819986553E-2"/>
    <n v="0.02"/>
    <s v=""/>
    <s v=""/>
    <s v=""/>
    <n v="0"/>
    <s v="No"/>
    <m/>
    <n v="1"/>
    <s v=""/>
    <m/>
    <m/>
    <m/>
    <m/>
    <m/>
    <m/>
    <m/>
    <m/>
    <m/>
    <m/>
    <s v=""/>
    <n v="0"/>
    <s v=""/>
    <s v=""/>
    <s v=""/>
    <s v=""/>
    <m/>
    <m/>
  </r>
  <r>
    <s v="{D18A7993-23AF-4BF6-89CF-AB04C34BCC54}"/>
    <s v="Morristown BRS 0240(3) &amp; STP HES 030-(28)"/>
    <s v="VTrans"/>
    <s v="Vtrans TS4"/>
    <m/>
    <m/>
    <n v="0.27"/>
    <n v="0.37"/>
    <n v="0.6"/>
    <s v="7254-INDS"/>
    <s v="S/N 001"/>
    <m/>
    <m/>
    <m/>
    <x v="0"/>
    <m/>
    <x v="9"/>
    <m/>
    <m/>
    <m/>
    <x v="5"/>
    <x v="0"/>
    <s v="Yes"/>
    <x v="1"/>
    <n v="0.22"/>
    <x v="1"/>
    <s v="Total Pervious"/>
    <m/>
    <m/>
    <m/>
    <m/>
    <n v="0.38"/>
    <s v="Developed Pervious "/>
    <n v="2.5"/>
    <n v="0.25"/>
    <n v="3"/>
    <n v="215"/>
    <n v="167.91499999999999"/>
    <m/>
    <n v="174.6875"/>
    <m/>
    <s v="A"/>
    <s v="A"/>
    <n v="0.14675045980745652"/>
    <n v="0.19816527669661393"/>
    <n v="3.0000000000000002E-2"/>
    <n v="0.98165276696613923"/>
    <n v="2.9449583008984179E-2"/>
    <n v="4.3217398477062869E-3"/>
    <n v="0"/>
    <s v="No"/>
    <m/>
    <n v="1"/>
    <n v="4.3217398477062869E-3"/>
    <m/>
    <m/>
    <m/>
    <m/>
    <m/>
    <m/>
    <m/>
    <m/>
    <m/>
    <m/>
    <s v=""/>
    <n v="0"/>
    <s v=""/>
    <s v=""/>
    <s v=""/>
    <s v=""/>
    <m/>
    <m/>
  </r>
  <r>
    <s v="{B110A486-1A0A-487C-B646-4C97ED598244}"/>
    <s v="Morristown BRS 0240(3) &amp; STP HES 030-(28)"/>
    <s v="VTrans"/>
    <s v="Vtrans TS4"/>
    <m/>
    <m/>
    <n v="0.12"/>
    <n v="1.18"/>
    <n v="0.54"/>
    <s v="7254-INDS"/>
    <s v="S/N 002"/>
    <m/>
    <m/>
    <m/>
    <x v="0"/>
    <m/>
    <x v="9"/>
    <m/>
    <m/>
    <m/>
    <x v="5"/>
    <x v="0"/>
    <s v="Yes"/>
    <x v="1"/>
    <n v="0.33"/>
    <x v="2"/>
    <s v="Total Pervious"/>
    <m/>
    <m/>
    <m/>
    <m/>
    <n v="0.12"/>
    <s v="Developed Pervious "/>
    <n v="2"/>
    <n v="0.84"/>
    <n v="2"/>
    <n v="500"/>
    <n v="202.23699999999999"/>
    <m/>
    <n v="1545.6"/>
    <m/>
    <s v="A"/>
    <s v="A"/>
    <n v="0.34109498787619863"/>
    <n v="1.1547205272005407"/>
    <n v="7.9999999999999988E-2"/>
    <n v="0.30944105440108149"/>
    <n v="0.19475528435208653"/>
    <n v="6.6430051354900571E-2"/>
    <n v="0"/>
    <s v="No"/>
    <m/>
    <n v="1"/>
    <n v="6.6430051354900571E-2"/>
    <m/>
    <m/>
    <m/>
    <m/>
    <m/>
    <m/>
    <m/>
    <m/>
    <m/>
    <m/>
    <s v=""/>
    <n v="0"/>
    <s v=""/>
    <s v=""/>
    <s v=""/>
    <s v=""/>
    <m/>
    <m/>
  </r>
  <r>
    <s v="{D18A7993-23AF-4BF6-89CF-AB04C34BCC54}"/>
    <s v="Morristown BRS 0240(3) &amp; STP HES 030-(28)"/>
    <s v="VTrans"/>
    <s v="Vtrans TS4"/>
    <m/>
    <m/>
    <n v="0.27"/>
    <n v="0.37"/>
    <n v="0.6"/>
    <s v="7254-9010"/>
    <s v="S/N 001"/>
    <m/>
    <m/>
    <m/>
    <x v="0"/>
    <m/>
    <x v="9"/>
    <m/>
    <m/>
    <m/>
    <x v="5"/>
    <x v="0"/>
    <s v="Yes"/>
    <x v="1"/>
    <n v="0.22"/>
    <x v="1"/>
    <s v="Total Pervious"/>
    <m/>
    <m/>
    <m/>
    <m/>
    <n v="0.38"/>
    <s v="Developed Pervious "/>
    <n v="2.5"/>
    <n v="0.33"/>
    <n v="3"/>
    <n v="215"/>
    <m/>
    <m/>
    <n v="247.61550000000003"/>
    <m/>
    <s v="A"/>
    <s v="A"/>
    <n v="0.14675045980745652"/>
    <n v="0.2722308681998199"/>
    <n v="3.9999999999999994E-2"/>
    <n v="0.36115434099909943"/>
    <n v="3.4446173639963974E-2"/>
    <n v="5.0549918202722017E-3"/>
    <n v="0"/>
    <s v="No"/>
    <m/>
    <n v="1"/>
    <n v="5.0549918202722017E-3"/>
    <m/>
    <m/>
    <m/>
    <m/>
    <m/>
    <m/>
    <m/>
    <m/>
    <m/>
    <m/>
    <s v=""/>
    <n v="0"/>
    <s v=""/>
    <s v=""/>
    <s v=""/>
    <s v=""/>
    <m/>
    <m/>
  </r>
  <r>
    <s v="{B110A486-1A0A-487C-B646-4C97ED598244}"/>
    <s v="Morristown BRS 0240(3) &amp; STP HES 030-(28)"/>
    <s v="VTrans"/>
    <s v="Vtrans TS4"/>
    <m/>
    <m/>
    <n v="0.12"/>
    <n v="1.18"/>
    <n v="0.54"/>
    <s v="7254-9010"/>
    <s v="S/N 002"/>
    <m/>
    <m/>
    <m/>
    <x v="0"/>
    <m/>
    <x v="9"/>
    <m/>
    <m/>
    <m/>
    <x v="5"/>
    <x v="0"/>
    <s v="Yes"/>
    <x v="1"/>
    <n v="0.33"/>
    <x v="2"/>
    <s v="Total Pervious"/>
    <m/>
    <m/>
    <m/>
    <m/>
    <n v="0.21"/>
    <s v="Developed Pervious "/>
    <n v="2"/>
    <n v="0.4"/>
    <n v="2.5"/>
    <n v="500"/>
    <m/>
    <m/>
    <n v="600.00000000000011"/>
    <m/>
    <s v="A"/>
    <s v="A"/>
    <n v="0.34109498787619863"/>
    <n v="0.46191619881803819"/>
    <n v="4.0000000000000008E-2"/>
    <n v="0.30958099409019091"/>
    <n v="6.2383239763607642E-2"/>
    <n v="2.1278610410845743E-2"/>
    <n v="0"/>
    <s v="No"/>
    <m/>
    <n v="1"/>
    <n v="2.1278610410845743E-2"/>
    <m/>
    <m/>
    <m/>
    <m/>
    <m/>
    <m/>
    <m/>
    <m/>
    <m/>
    <m/>
    <s v=""/>
    <n v="0"/>
    <s v=""/>
    <s v=""/>
    <s v=""/>
    <s v=""/>
    <m/>
    <s v="Swale length may shorten"/>
  </r>
  <r>
    <s v="{98FA7459-AB5F-42BF-9730-C26811D28253}"/>
    <s v="Allen Brook FRP"/>
    <s v="VTrans"/>
    <s v="Vtrans TS4"/>
    <m/>
    <m/>
    <n v="0"/>
    <n v="0"/>
    <n v="1.2"/>
    <s v="NA"/>
    <s v="NA"/>
    <m/>
    <m/>
    <m/>
    <x v="0"/>
    <m/>
    <x v="10"/>
    <m/>
    <m/>
    <s v="Allen Brook"/>
    <x v="1"/>
    <x v="1"/>
    <s v="Yes"/>
    <x v="4"/>
    <n v="0.26"/>
    <x v="1"/>
    <s v="Total Pervious"/>
    <m/>
    <m/>
    <m/>
    <m/>
    <n v="0.94"/>
    <s v="Developed Pervious "/>
    <m/>
    <m/>
    <m/>
    <m/>
    <m/>
    <m/>
    <n v="5006.87"/>
    <m/>
    <s v="D"/>
    <s v="D"/>
    <n v="0.17076291854551465"/>
    <n v="1.8540617940765061"/>
    <n v="1.0000000000000009E-2"/>
    <n v="0.70812358815301213"/>
    <n v="0.61708123588153008"/>
    <n v="0.10537459281880324"/>
    <n v="0"/>
    <s v="No"/>
    <m/>
    <n v="1"/>
    <n v="0.10537459281880324"/>
    <m/>
    <m/>
    <m/>
    <m/>
    <m/>
    <m/>
    <m/>
    <m/>
    <m/>
    <m/>
    <s v=""/>
    <n v="0"/>
    <s v=""/>
    <s v=""/>
    <s v=""/>
    <s v=""/>
    <m/>
    <s v="Median A"/>
  </r>
  <r>
    <s v="{A740F11D-6D6A-4AE7-9851-441544B5CEC9}"/>
    <s v="Allen Brook FRP"/>
    <s v="VTrans"/>
    <s v="Vtrans TS4"/>
    <m/>
    <m/>
    <n v="0"/>
    <n v="0"/>
    <n v="1.04"/>
    <s v="NA"/>
    <s v="NA"/>
    <m/>
    <m/>
    <m/>
    <x v="0"/>
    <m/>
    <x v="10"/>
    <m/>
    <m/>
    <s v="Allen Brook"/>
    <x v="1"/>
    <x v="1"/>
    <s v="Yes"/>
    <x v="4"/>
    <n v="0.26"/>
    <x v="1"/>
    <s v="Total Pervious"/>
    <m/>
    <m/>
    <m/>
    <m/>
    <n v="0.78"/>
    <s v="Developed Pervious "/>
    <m/>
    <m/>
    <m/>
    <m/>
    <m/>
    <m/>
    <n v="6145.93"/>
    <m/>
    <s v="D"/>
    <s v="D"/>
    <n v="0.17076291854551465"/>
    <n v="2"/>
    <s v=""/>
    <s v=""/>
    <n v="0.65"/>
    <n v="0.11099589705458453"/>
    <n v="0"/>
    <s v="No"/>
    <m/>
    <n v="1"/>
    <n v="0.11099589705458453"/>
    <m/>
    <m/>
    <m/>
    <m/>
    <m/>
    <m/>
    <m/>
    <m/>
    <m/>
    <m/>
    <s v=""/>
    <n v="0"/>
    <s v=""/>
    <s v=""/>
    <s v=""/>
    <s v=""/>
    <m/>
    <s v="Median B"/>
  </r>
  <r>
    <s v="{CDDDA03F-F5BF-4D8A-8618-D6356AB42792}"/>
    <s v="Allen Brook FRP"/>
    <s v="VTrans"/>
    <s v="Vtrans TS4"/>
    <m/>
    <m/>
    <n v="0"/>
    <n v="0"/>
    <n v="3.27"/>
    <s v="NA"/>
    <s v="NA"/>
    <m/>
    <m/>
    <m/>
    <x v="0"/>
    <m/>
    <x v="10"/>
    <m/>
    <m/>
    <s v="Allen Brook"/>
    <x v="1"/>
    <x v="1"/>
    <s v="Yes"/>
    <x v="4"/>
    <n v="0.71"/>
    <x v="1"/>
    <s v="Total Pervious"/>
    <m/>
    <m/>
    <m/>
    <m/>
    <n v="2.56"/>
    <s v="Developed Pervious "/>
    <m/>
    <m/>
    <m/>
    <m/>
    <m/>
    <m/>
    <n v="6420.93"/>
    <m/>
    <s v="C/D"/>
    <s v="C/D"/>
    <n v="0.46631412372044384"/>
    <n v="1.1525113835941923"/>
    <n v="4.0000000000000036E-2"/>
    <n v="0.3050227671883845"/>
    <n v="0.58220091068753532"/>
    <n v="0.27148850749650244"/>
    <n v="0"/>
    <s v="No"/>
    <m/>
    <n v="1"/>
    <n v="0.27148850749650244"/>
    <m/>
    <m/>
    <m/>
    <m/>
    <m/>
    <m/>
    <m/>
    <m/>
    <m/>
    <m/>
    <s v=""/>
    <n v="0"/>
    <s v=""/>
    <s v=""/>
    <s v=""/>
    <s v=""/>
    <m/>
    <s v="WCA-4"/>
  </r>
  <r>
    <s v="{EA8170CB-0D6E-4DB2-A8C0-30E16DFAF8D1}"/>
    <s v="Allen Brook FRP"/>
    <s v="VTrans"/>
    <s v="Vtrans TS4"/>
    <m/>
    <m/>
    <n v="0"/>
    <n v="0"/>
    <n v="2.5299999999999998"/>
    <s v="NA"/>
    <s v="NA"/>
    <m/>
    <m/>
    <m/>
    <x v="0"/>
    <m/>
    <x v="10"/>
    <m/>
    <m/>
    <s v="Allen Brook"/>
    <x v="1"/>
    <x v="1"/>
    <s v="Yes"/>
    <x v="8"/>
    <n v="0.48"/>
    <x v="1"/>
    <s v="Total Pervious"/>
    <m/>
    <m/>
    <m/>
    <m/>
    <n v="2.0499999999999998"/>
    <s v="Developed Pervious "/>
    <m/>
    <m/>
    <m/>
    <m/>
    <m/>
    <m/>
    <n v="1274.8"/>
    <s v="0.17 in/hr"/>
    <s v="C/D"/>
    <s v="C/D"/>
    <n v="0.31525461885325784"/>
    <n v="0.46581867942462257"/>
    <n v="0.16000000000000003"/>
    <n v="0.32909339712311281"/>
    <n v="0.38265494353969809"/>
    <n v="0.12063373837792242"/>
    <n v="0"/>
    <s v="No"/>
    <m/>
    <n v="1"/>
    <n v="0.12063373837792242"/>
    <m/>
    <m/>
    <m/>
    <m/>
    <m/>
    <m/>
    <m/>
    <m/>
    <m/>
    <m/>
    <s v=""/>
    <n v="0"/>
    <s v=""/>
    <s v=""/>
    <s v=""/>
    <s v=""/>
    <m/>
    <s v="WCA-3. "/>
  </r>
  <r>
    <s v="{BA69F298-EA50-406C-9A52-5FDA4EBF0AF8}"/>
    <s v="Allen Brook FRP"/>
    <s v="VTrans"/>
    <s v="Vtrans TS4"/>
    <m/>
    <m/>
    <n v="0"/>
    <n v="0"/>
    <n v="2.33"/>
    <s v="NA"/>
    <s v="NA"/>
    <m/>
    <m/>
    <m/>
    <x v="0"/>
    <m/>
    <x v="10"/>
    <m/>
    <m/>
    <s v="Allen Brook"/>
    <x v="1"/>
    <x v="1"/>
    <s v="Yes"/>
    <x v="4"/>
    <n v="0.23"/>
    <x v="1"/>
    <s v="Total Pervious"/>
    <m/>
    <m/>
    <m/>
    <m/>
    <n v="2.1"/>
    <s v="Developed Pervious "/>
    <m/>
    <m/>
    <m/>
    <m/>
    <m/>
    <m/>
    <n v="2165.87"/>
    <m/>
    <s v="C/D"/>
    <s v="C/D"/>
    <n v="0.15105950486718606"/>
    <n v="0.8288003911480134"/>
    <n v="4.0000000000000036E-2"/>
    <n v="0.14400195574006683"/>
    <n v="0.51576007822960268"/>
    <n v="7.7910462047624932E-2"/>
    <n v="0"/>
    <s v="No"/>
    <m/>
    <n v="1"/>
    <n v="7.7910462047624932E-2"/>
    <m/>
    <m/>
    <m/>
    <m/>
    <m/>
    <m/>
    <m/>
    <m/>
    <m/>
    <m/>
    <s v=""/>
    <n v="0"/>
    <s v=""/>
    <s v=""/>
    <s v=""/>
    <s v=""/>
    <m/>
    <s v="WCA-2"/>
  </r>
  <r>
    <s v="{1FD35EEC-B90F-4418-8698-1B766F247D80}"/>
    <s v="Allen Brook FRP"/>
    <s v="VTrans"/>
    <s v="Vtrans TS4"/>
    <m/>
    <m/>
    <n v="0"/>
    <n v="0"/>
    <n v="2.86"/>
    <s v="NA"/>
    <s v="NA"/>
    <m/>
    <m/>
    <m/>
    <x v="0"/>
    <m/>
    <x v="10"/>
    <m/>
    <m/>
    <s v="Allen Brook"/>
    <x v="1"/>
    <x v="1"/>
    <s v="Yes"/>
    <x v="8"/>
    <n v="0.46"/>
    <x v="1"/>
    <s v="Total Pervious"/>
    <m/>
    <m/>
    <m/>
    <m/>
    <n v="2.4"/>
    <s v="Developed Pervious "/>
    <m/>
    <m/>
    <m/>
    <m/>
    <m/>
    <m/>
    <n v="3149.4"/>
    <s v="0.17 in/hr"/>
    <s v="C/D"/>
    <s v="C/D"/>
    <n v="0.30211900973437211"/>
    <n v="0.84296526298248875"/>
    <n v="7.0000000000000062E-2"/>
    <n v="0.21482631491244358"/>
    <n v="0.74503784204387102"/>
    <n v="0.22509009505292787"/>
    <n v="0"/>
    <s v="No"/>
    <m/>
    <n v="1"/>
    <n v="0.22509009505292787"/>
    <m/>
    <m/>
    <m/>
    <m/>
    <m/>
    <m/>
    <m/>
    <m/>
    <m/>
    <m/>
    <s v=""/>
    <n v="0"/>
    <s v=""/>
    <s v=""/>
    <s v=""/>
    <s v=""/>
    <m/>
    <s v="WCA-TO"/>
  </r>
  <r>
    <s v="{69CFC630-3DB7-43AA-8A15-A75F9907472B}"/>
    <s v="Allen Brook FRP"/>
    <s v="VTrans"/>
    <s v="Vtrans TS4"/>
    <m/>
    <m/>
    <n v="0"/>
    <n v="0"/>
    <n v="4.2"/>
    <s v="NA"/>
    <s v="NA"/>
    <m/>
    <m/>
    <m/>
    <x v="0"/>
    <m/>
    <x v="10"/>
    <m/>
    <m/>
    <s v="Allen Brook"/>
    <x v="1"/>
    <x v="1"/>
    <s v="Yes"/>
    <x v="8"/>
    <n v="0.94"/>
    <x v="2"/>
    <s v="Total Pervious"/>
    <m/>
    <m/>
    <m/>
    <m/>
    <n v="3.26"/>
    <s v="Developed Pervious "/>
    <m/>
    <m/>
    <m/>
    <m/>
    <m/>
    <m/>
    <n v="7652.3"/>
    <s v="0.17 in/hr"/>
    <s v="C/D"/>
    <s v="C/D"/>
    <n v="0.95692759598106636"/>
    <n v="1.0898745283033326"/>
    <n v="6.9999999999999951E-2"/>
    <n v="0.17974905660666529"/>
    <n v="0.84258243396246657"/>
    <n v="0.80629038294757871"/>
    <n v="0"/>
    <s v="No"/>
    <m/>
    <n v="1"/>
    <n v="0.80629038294757871"/>
    <m/>
    <m/>
    <m/>
    <m/>
    <m/>
    <m/>
    <m/>
    <m/>
    <m/>
    <m/>
    <s v=""/>
    <n v="0"/>
    <s v=""/>
    <s v=""/>
    <s v=""/>
    <s v=""/>
    <m/>
    <s v="WCA-1"/>
  </r>
  <r>
    <s v="{A70DFD76-7C17-45F8-9A8D-478F6A0D09CB}"/>
    <s v="Allen Brook FRP"/>
    <s v="VTrans"/>
    <s v="Vtrans TS4"/>
    <m/>
    <m/>
    <n v="0"/>
    <n v="0"/>
    <n v="0.94399999999999995"/>
    <s v="NA"/>
    <s v="NA"/>
    <m/>
    <m/>
    <m/>
    <x v="0"/>
    <m/>
    <x v="10"/>
    <m/>
    <m/>
    <s v="Allen Brook"/>
    <x v="1"/>
    <x v="1"/>
    <s v="Yes"/>
    <x v="4"/>
    <n v="0.20200000000000001"/>
    <x v="1"/>
    <s v="Total Pervious"/>
    <m/>
    <m/>
    <m/>
    <m/>
    <n v="0.74199999999999999"/>
    <s v="Developed Pervious "/>
    <m/>
    <m/>
    <m/>
    <m/>
    <m/>
    <m/>
    <n v="3310.6"/>
    <m/>
    <s v="A/D"/>
    <s v="A/D"/>
    <n v="0.13266965210074602"/>
    <n v="1.669278857313959"/>
    <n v="1.0000000000000009E-2"/>
    <n v="0.33855771462791795"/>
    <n v="0.61338557714627917"/>
    <n v="8.1377651123612171E-2"/>
    <n v="0"/>
    <s v="No"/>
    <m/>
    <n v="1"/>
    <n v="8.1377651123612171E-2"/>
    <m/>
    <m/>
    <m/>
    <m/>
    <m/>
    <m/>
    <m/>
    <m/>
    <m/>
    <m/>
    <s v=""/>
    <n v="0"/>
    <s v=""/>
    <s v=""/>
    <s v=""/>
    <s v=""/>
    <m/>
    <s v="Median E"/>
  </r>
  <r>
    <s v="{AD785131-8753-4C1B-8F3C-70DA2805BF36}"/>
    <s v="Allen Brook FRP"/>
    <s v="VTrans"/>
    <s v="Vtrans TS4"/>
    <m/>
    <m/>
    <n v="0"/>
    <n v="0"/>
    <n v="1.198"/>
    <s v="NA"/>
    <s v="NA"/>
    <m/>
    <m/>
    <m/>
    <x v="0"/>
    <m/>
    <x v="10"/>
    <m/>
    <m/>
    <s v="Allen Brook"/>
    <x v="1"/>
    <x v="1"/>
    <s v="Yes"/>
    <x v="4"/>
    <n v="0.318"/>
    <x v="1"/>
    <s v="Total Pervious"/>
    <m/>
    <m/>
    <m/>
    <m/>
    <n v="0.872"/>
    <s v="Developed Pervious "/>
    <m/>
    <m/>
    <m/>
    <m/>
    <m/>
    <m/>
    <n v="3492.87"/>
    <m/>
    <s v="C/D"/>
    <s v="C/D"/>
    <n v="0.2088561849902833"/>
    <n v="1.440611961988683"/>
    <n v="4.0000000000000036E-2"/>
    <n v="0.88122392397736604"/>
    <n v="0.60524895695909464"/>
    <n v="0.12640998811982468"/>
    <n v="0"/>
    <s v="No"/>
    <m/>
    <n v="1"/>
    <n v="0.12640998811982468"/>
    <m/>
    <m/>
    <m/>
    <m/>
    <m/>
    <m/>
    <m/>
    <m/>
    <m/>
    <m/>
    <s v=""/>
    <n v="0"/>
    <s v=""/>
    <s v=""/>
    <s v=""/>
    <s v=""/>
    <m/>
    <s v="Median F"/>
  </r>
  <r>
    <s v="{9A8FC55A-8BD9-4349-A3EF-725888A9A42E}"/>
    <s v="Allen Brook FRP"/>
    <s v="VTrans"/>
    <s v="Vtrans TS4"/>
    <m/>
    <m/>
    <n v="0"/>
    <n v="0"/>
    <n v="1.7050000000000001"/>
    <s v="NA"/>
    <s v="NA"/>
    <m/>
    <m/>
    <m/>
    <x v="0"/>
    <m/>
    <x v="10"/>
    <m/>
    <m/>
    <s v="Allen Brook"/>
    <x v="1"/>
    <x v="1"/>
    <s v="Yes"/>
    <x v="4"/>
    <n v="0.41399999999999998"/>
    <x v="1"/>
    <s v="Total Pervious"/>
    <m/>
    <m/>
    <m/>
    <m/>
    <n v="1.2909999999999999"/>
    <s v="Developed Pervious "/>
    <m/>
    <m/>
    <m/>
    <m/>
    <m/>
    <m/>
    <n v="4342.3500000000004"/>
    <m/>
    <s v="C/D"/>
    <s v="C/D"/>
    <n v="0.27190710876093488"/>
    <n v="1.3363970524422324"/>
    <n v="4.0000000000000036E-2"/>
    <n v="0.67279410488446478"/>
    <n v="0.59691176419537861"/>
    <n v="0.16230455198775431"/>
    <n v="0"/>
    <s v="No"/>
    <m/>
    <n v="1"/>
    <n v="0.16230455198775431"/>
    <m/>
    <m/>
    <m/>
    <m/>
    <m/>
    <m/>
    <m/>
    <m/>
    <m/>
    <m/>
    <s v=""/>
    <n v="0"/>
    <s v=""/>
    <s v=""/>
    <s v=""/>
    <s v=""/>
    <m/>
    <s v="Median G"/>
  </r>
  <r>
    <s v="{3A0F95A1-03A2-459E-9BB9-D63649A64E6A}"/>
    <s v="Allen Brook FRP"/>
    <s v="VTrans"/>
    <s v="Vtrans TS4"/>
    <m/>
    <m/>
    <n v="0"/>
    <n v="0"/>
    <n v="1.669"/>
    <s v="NA"/>
    <s v="NA"/>
    <m/>
    <m/>
    <m/>
    <x v="0"/>
    <m/>
    <x v="10"/>
    <m/>
    <m/>
    <s v="Allen Brook"/>
    <x v="1"/>
    <x v="1"/>
    <s v="Yes"/>
    <x v="4"/>
    <n v="0.35199999999999998"/>
    <x v="1"/>
    <s v="Total Pervious"/>
    <m/>
    <m/>
    <m/>
    <m/>
    <n v="1.3169999999999999"/>
    <s v="Developed Pervious "/>
    <m/>
    <m/>
    <m/>
    <m/>
    <m/>
    <m/>
    <n v="8458.07"/>
    <m/>
    <s v="C/D"/>
    <s v="C/D"/>
    <n v="0.23118672049238906"/>
    <n v="2"/>
    <s v=""/>
    <s v=""/>
    <n v="0.65"/>
    <n v="0.15027136832005289"/>
    <n v="0"/>
    <s v="No"/>
    <m/>
    <n v="1"/>
    <n v="0.15027136832005289"/>
    <m/>
    <m/>
    <m/>
    <m/>
    <m/>
    <m/>
    <m/>
    <m/>
    <m/>
    <m/>
    <s v=""/>
    <n v="0"/>
    <s v=""/>
    <s v=""/>
    <s v=""/>
    <s v=""/>
    <m/>
    <s v="Median H"/>
  </r>
  <r>
    <s v="{2767241B-9844-46E3-9760-82AA130BF5C3}"/>
    <s v="Allen Brook FRP"/>
    <s v="VTrans"/>
    <s v="Vtrans TS4"/>
    <m/>
    <m/>
    <n v="0"/>
    <n v="0"/>
    <n v="1.272"/>
    <s v="NA"/>
    <s v="NA"/>
    <m/>
    <m/>
    <m/>
    <x v="0"/>
    <m/>
    <x v="10"/>
    <m/>
    <m/>
    <s v="Allen Brook"/>
    <x v="1"/>
    <x v="1"/>
    <s v="Yes"/>
    <x v="4"/>
    <n v="0.26500000000000001"/>
    <x v="2"/>
    <s v="Total Pervious"/>
    <m/>
    <m/>
    <m/>
    <m/>
    <n v="1.0069999999999999"/>
    <s v="Developed Pervious "/>
    <m/>
    <m/>
    <m/>
    <m/>
    <m/>
    <m/>
    <n v="2412.67"/>
    <m/>
    <s v="D"/>
    <s v="D"/>
    <n v="0.26977214142019429"/>
    <n v="1.1362625638284884"/>
    <n v="4.0000000000000036E-2"/>
    <n v="0.2725251276569769"/>
    <n v="0.58090100510627907"/>
    <n v="0.15671090810066413"/>
    <n v="0"/>
    <s v="No"/>
    <m/>
    <n v="1"/>
    <n v="0.15671090810066413"/>
    <m/>
    <m/>
    <m/>
    <m/>
    <m/>
    <m/>
    <m/>
    <m/>
    <m/>
    <m/>
    <s v=""/>
    <n v="0"/>
    <s v=""/>
    <s v=""/>
    <s v=""/>
    <s v=""/>
    <m/>
    <s v="Median I"/>
  </r>
  <r>
    <s v="{B2A7C3E3-F82A-4838-A24A-0A8E37AB4530}"/>
    <s v="Allen Brook FRP"/>
    <s v="VTrans"/>
    <s v="Vtrans TS4"/>
    <m/>
    <m/>
    <n v="0"/>
    <n v="0"/>
    <n v="26.51"/>
    <s v="NA"/>
    <s v="NA"/>
    <m/>
    <m/>
    <m/>
    <x v="0"/>
    <m/>
    <x v="10"/>
    <m/>
    <m/>
    <s v="Allen Brook"/>
    <x v="1"/>
    <x v="1"/>
    <s v="Yes"/>
    <x v="0"/>
    <n v="4.37"/>
    <x v="0"/>
    <s v="Total Pervious"/>
    <m/>
    <m/>
    <m/>
    <m/>
    <n v="22.14"/>
    <s v="Forest"/>
    <m/>
    <m/>
    <m/>
    <m/>
    <m/>
    <m/>
    <n v="39088.5"/>
    <m/>
    <s v="C"/>
    <s v="C "/>
    <n v="7.5193018934158138"/>
    <n v="1.0114998628345517"/>
    <n v="4.9999999999999933E-2"/>
    <n v="2.2999725669103466E-2"/>
    <n v="0.48114998628345518"/>
    <n v="3.6179120028781773"/>
    <n v="0"/>
    <s v="No"/>
    <m/>
    <n v="1"/>
    <n v="3.6179120028781773"/>
    <m/>
    <m/>
    <m/>
    <m/>
    <m/>
    <m/>
    <m/>
    <m/>
    <m/>
    <m/>
    <s v=""/>
    <n v="0"/>
    <s v=""/>
    <s v=""/>
    <s v=""/>
    <s v=""/>
    <m/>
    <s v="Rest Area"/>
  </r>
  <r>
    <m/>
    <s v="East Montpelier BRF037-1(7)"/>
    <s v="VTrans"/>
    <s v="Vtrans TS4"/>
    <m/>
    <m/>
    <m/>
    <m/>
    <n v="2.3199999999999998"/>
    <s v="4251-INDS.R"/>
    <s v="S/N 001"/>
    <m/>
    <m/>
    <m/>
    <x v="0"/>
    <m/>
    <x v="10"/>
    <m/>
    <m/>
    <m/>
    <x v="1"/>
    <x v="1"/>
    <s v="Yes"/>
    <x v="1"/>
    <n v="0.33"/>
    <x v="2"/>
    <s v="Total Pervious"/>
    <m/>
    <m/>
    <m/>
    <m/>
    <n v="2.08"/>
    <s v="Developed Pervious "/>
    <n v="3"/>
    <n v="0.23"/>
    <n v="2"/>
    <n v="103"/>
    <m/>
    <m/>
    <n v="81.967400000000012"/>
    <m/>
    <s v="A"/>
    <s v="A"/>
    <n v="0.33594266667420419"/>
    <n v="6.003164160293082E-2"/>
    <n v="0.02"/>
    <s v=""/>
    <s v=""/>
    <s v=""/>
    <n v="0"/>
    <s v="No"/>
    <m/>
    <n v="1"/>
    <s v=""/>
    <m/>
    <m/>
    <m/>
    <m/>
    <m/>
    <m/>
    <m/>
    <m/>
    <m/>
    <m/>
    <s v=""/>
    <n v="0"/>
    <s v=""/>
    <s v=""/>
    <s v=""/>
    <s v=""/>
    <m/>
    <m/>
  </r>
  <r>
    <m/>
    <s v="East Montpelier BRF037-1(7)"/>
    <s v="VTrans"/>
    <s v="Vtrans TS4"/>
    <m/>
    <m/>
    <m/>
    <m/>
    <m/>
    <s v="4251-INDS.R"/>
    <s v="S/N 001"/>
    <m/>
    <m/>
    <m/>
    <x v="0"/>
    <m/>
    <x v="10"/>
    <m/>
    <m/>
    <m/>
    <x v="1"/>
    <x v="1"/>
    <s v="Yes"/>
    <x v="5"/>
    <n v="0.33"/>
    <x v="2"/>
    <s v="Total Pervious"/>
    <m/>
    <m/>
    <m/>
    <m/>
    <n v="1.0000000000000001E-5"/>
    <s v="Developed Pervious "/>
    <m/>
    <m/>
    <m/>
    <m/>
    <m/>
    <m/>
    <n v="777.6"/>
    <s v="2.41 in/hr"/>
    <s v="A"/>
    <s v="A"/>
    <n v="0.33594266667420419"/>
    <n v="0.64913236953054665"/>
    <n v="4.9999999999999933E-2"/>
    <n v="0.24566184765273327"/>
    <n v="0.82228309238263675"/>
    <n v="0.27623997481613399"/>
    <n v="0"/>
    <s v="No"/>
    <m/>
    <n v="1"/>
    <n v="0.27623997481613399"/>
    <m/>
    <m/>
    <m/>
    <m/>
    <m/>
    <m/>
    <m/>
    <m/>
    <m/>
    <m/>
    <s v=""/>
    <n v="0"/>
    <s v=""/>
    <s v=""/>
    <s v=""/>
    <s v=""/>
    <m/>
    <m/>
  </r>
  <r>
    <m/>
    <s v="East Montpelier BRF037-1(7)"/>
    <s v="VTrans"/>
    <s v="Vtrans TS4"/>
    <m/>
    <m/>
    <m/>
    <m/>
    <m/>
    <s v="4251-INDS.R"/>
    <s v="S/N 001"/>
    <m/>
    <m/>
    <m/>
    <x v="0"/>
    <m/>
    <x v="10"/>
    <m/>
    <m/>
    <m/>
    <x v="1"/>
    <x v="1"/>
    <s v="Yes"/>
    <x v="11"/>
    <n v="0.33"/>
    <x v="2"/>
    <s v="Total Pervious"/>
    <m/>
    <m/>
    <m/>
    <m/>
    <n v="2.008"/>
    <s v="Developed Pervious "/>
    <m/>
    <m/>
    <m/>
    <m/>
    <m/>
    <m/>
    <n v="1166"/>
    <m/>
    <s v="A"/>
    <s v="A"/>
    <n v="0.33594266667420419"/>
    <n v="0.51403551007442039"/>
    <n v="7.0000000000000007E-2"/>
    <n v="0.57017755037210194"/>
    <n v="0.28991242852604715"/>
    <n v="9.73939543410349E-2"/>
    <n v="0"/>
    <s v="No"/>
    <m/>
    <n v="1"/>
    <n v="9.73939543410349E-2"/>
    <m/>
    <m/>
    <m/>
    <m/>
    <m/>
    <m/>
    <m/>
    <m/>
    <m/>
    <m/>
    <s v=""/>
    <n v="0"/>
    <s v=""/>
    <s v=""/>
    <s v=""/>
    <s v=""/>
    <m/>
    <m/>
  </r>
  <r>
    <s v="{DA825942-BB4D-4999-967E-C1EDF0287D32}"/>
    <s v="Middlesex IM 089-2(41) (US2 over I-89)"/>
    <s v="VTrans"/>
    <s v="Vtrans TS4"/>
    <m/>
    <m/>
    <m/>
    <m/>
    <m/>
    <s v="7145-INDS"/>
    <s v="S/N 002"/>
    <m/>
    <m/>
    <m/>
    <x v="0"/>
    <m/>
    <x v="10"/>
    <m/>
    <m/>
    <m/>
    <x v="1"/>
    <x v="1"/>
    <s v="Yes"/>
    <x v="3"/>
    <n v="0.59"/>
    <x v="1"/>
    <s v="Total Pervious"/>
    <m/>
    <m/>
    <m/>
    <m/>
    <n v="0"/>
    <s v="Developed Pervious "/>
    <m/>
    <m/>
    <m/>
    <m/>
    <m/>
    <n v="0.59"/>
    <n v="0"/>
    <m/>
    <s v="B"/>
    <s v="B"/>
    <n v="0.38750046900712937"/>
    <s v=""/>
    <s v=""/>
    <s v=""/>
    <s v=""/>
    <s v=""/>
    <n v="0.22862527671420632"/>
    <s v="No"/>
    <m/>
    <n v="1"/>
    <n v="0.22862527671420632"/>
    <m/>
    <m/>
    <m/>
    <m/>
    <m/>
    <m/>
    <m/>
    <m/>
    <m/>
    <m/>
    <s v=""/>
    <n v="0"/>
    <s v=""/>
    <s v=""/>
    <s v=""/>
    <s v=""/>
    <m/>
    <m/>
  </r>
  <r>
    <m/>
    <s v="Vergennes PLAT (Ferrisburgh park and ride)"/>
    <s v="VTrans"/>
    <s v="Vtrans TS4"/>
    <m/>
    <m/>
    <n v="0.05"/>
    <n v="0"/>
    <n v="0.33"/>
    <s v="3127-9015"/>
    <s v="S/N 001"/>
    <m/>
    <m/>
    <m/>
    <x v="0"/>
    <m/>
    <x v="10"/>
    <m/>
    <m/>
    <m/>
    <x v="3"/>
    <x v="3"/>
    <s v="Yes"/>
    <x v="3"/>
    <n v="0.05"/>
    <x v="0"/>
    <s v="Total Pervious"/>
    <m/>
    <m/>
    <m/>
    <m/>
    <n v="0.28000000000000003"/>
    <s v="Developed Pervious "/>
    <m/>
    <m/>
    <m/>
    <m/>
    <m/>
    <n v="0.49"/>
    <n v="0"/>
    <m/>
    <s v="C/D"/>
    <s v="C/D"/>
    <n v="4.0903358149458453E-2"/>
    <n v="0"/>
    <s v=""/>
    <s v=""/>
    <s v=""/>
    <s v=""/>
    <n v="2.0042645493234642E-2"/>
    <s v="No"/>
    <m/>
    <n v="1"/>
    <n v="2.0042645493234642E-2"/>
    <m/>
    <m/>
    <m/>
    <m/>
    <m/>
    <m/>
    <m/>
    <m/>
    <m/>
    <m/>
    <s v=""/>
    <n v="0"/>
    <s v=""/>
    <s v=""/>
    <s v=""/>
    <s v=""/>
    <m/>
    <s v="56 feet of disconnection"/>
  </r>
  <r>
    <s v="{C7105EA9-582B-4945-A664-D7B8598FF4FA}"/>
    <s v="Vergennes PLAT (Ferrisburgh park and ride)"/>
    <s v="VTrans"/>
    <s v="Vtrans TS4"/>
    <m/>
    <m/>
    <n v="0.05"/>
    <n v="0"/>
    <n v="0.33"/>
    <s v="3127-9015"/>
    <s v="S/N 001"/>
    <m/>
    <m/>
    <m/>
    <x v="0"/>
    <m/>
    <x v="11"/>
    <m/>
    <m/>
    <m/>
    <x v="3"/>
    <x v="3"/>
    <s v="Yes"/>
    <x v="3"/>
    <n v="0.05"/>
    <x v="1"/>
    <s v="Total Pervious"/>
    <m/>
    <m/>
    <m/>
    <m/>
    <n v="0.28000000000000003"/>
    <s v="Developed Pervious "/>
    <m/>
    <m/>
    <m/>
    <m/>
    <m/>
    <n v="0.36"/>
    <m/>
    <m/>
    <m/>
    <m/>
    <n v="3.430726757829166E-2"/>
    <n v="0"/>
    <s v=""/>
    <s v=""/>
    <s v=""/>
    <s v=""/>
    <n v="1.2350616328184997E-2"/>
    <s v="No"/>
    <m/>
    <n v="1"/>
    <n v="1.2350616328184997E-2"/>
    <m/>
    <m/>
    <m/>
    <m/>
    <m/>
    <m/>
    <m/>
    <m/>
    <m/>
    <m/>
    <s v=""/>
    <n v="0"/>
    <s v=""/>
    <s v=""/>
    <s v=""/>
    <s v=""/>
    <m/>
    <m/>
  </r>
  <r>
    <s v="{1CAA7997-9B74-4D90-94FC-EEF6661BDB49}"/>
    <s v="Williston STP HES 5500 (12) shared use path"/>
    <s v="VTrans"/>
    <s v="Vtrans TS4"/>
    <m/>
    <m/>
    <n v="0.77"/>
    <n v="0"/>
    <n v="2.25"/>
    <s v="7089-INDS"/>
    <s v="S/N 001"/>
    <m/>
    <m/>
    <m/>
    <x v="0"/>
    <m/>
    <x v="11"/>
    <m/>
    <m/>
    <m/>
    <x v="1"/>
    <x v="1"/>
    <s v="Yes"/>
    <x v="1"/>
    <n v="1.84"/>
    <x v="1"/>
    <s v="Total Pervious"/>
    <m/>
    <m/>
    <m/>
    <m/>
    <n v="9.9999999999999995E-8"/>
    <s v="Developed Pervious "/>
    <m/>
    <m/>
    <m/>
    <m/>
    <m/>
    <m/>
    <n v="2865.3900000000003"/>
    <m/>
    <m/>
    <m/>
    <n v="1.2084760389374885"/>
    <n v="0.42900197047941108"/>
    <n v="3.9999999999999994E-2"/>
    <n v="0.1450098523970553"/>
    <n v="5.5800394095882215E-2"/>
    <n v="6.7433439228142558E-2"/>
    <n v="0"/>
    <s v="No"/>
    <m/>
    <n v="1"/>
    <n v="6.7433439228142558E-2"/>
    <m/>
    <m/>
    <m/>
    <m/>
    <m/>
    <m/>
    <m/>
    <m/>
    <m/>
    <m/>
    <s v=""/>
    <n v="0"/>
    <s v=""/>
    <s v=""/>
    <s v=""/>
    <s v=""/>
    <m/>
    <m/>
  </r>
  <r>
    <s v="{375B17EE-6AF9-4C60-B4BB-94BFA6E89B1E}"/>
    <s v="Williston STP-HES 5500(12) "/>
    <s v="VTrans"/>
    <s v="Vtrans TS4"/>
    <m/>
    <m/>
    <n v="0.77"/>
    <n v="0.46"/>
    <n v="2.25"/>
    <s v="7089-9010"/>
    <s v="S/N 001"/>
    <m/>
    <m/>
    <m/>
    <x v="0"/>
    <m/>
    <x v="11"/>
    <m/>
    <m/>
    <m/>
    <x v="1"/>
    <x v="1"/>
    <s v="Yes"/>
    <x v="1"/>
    <n v="1.84"/>
    <x v="1"/>
    <s v="Total Pervious"/>
    <m/>
    <m/>
    <m/>
    <m/>
    <n v="14.43"/>
    <s v="Developed Pervious "/>
    <m/>
    <m/>
    <m/>
    <m/>
    <m/>
    <m/>
    <n v="2746.2599999999998"/>
    <m/>
    <m/>
    <m/>
    <n v="1.2084760389374885"/>
    <n v="0.25720436469980928"/>
    <n v="3.0000000000000002E-2"/>
    <n v="0.28602182349904637"/>
    <n v="2.8580654704971391E-2"/>
    <n v="3.4539036388103919E-2"/>
    <n v="0"/>
    <s v="No"/>
    <m/>
    <n v="1"/>
    <n v="3.4539036388103919E-2"/>
    <m/>
    <m/>
    <m/>
    <m/>
    <m/>
    <m/>
    <m/>
    <m/>
    <m/>
    <m/>
    <s v=""/>
    <n v="0"/>
    <s v=""/>
    <s v=""/>
    <s v=""/>
    <s v=""/>
    <m/>
    <m/>
  </r>
  <r>
    <s v="{0C83EEC4-DE36-4298-BEC8-28E2FF19B437}"/>
    <s v="Hinesburg HES 021-1(19)"/>
    <s v="VTrans"/>
    <s v="Vtrans TS4"/>
    <m/>
    <m/>
    <n v="0.18"/>
    <n v="0.08"/>
    <n v="0.26"/>
    <s v="7720-INDS.A"/>
    <s v="S/N 001"/>
    <m/>
    <m/>
    <m/>
    <x v="0"/>
    <m/>
    <x v="12"/>
    <m/>
    <m/>
    <m/>
    <x v="7"/>
    <x v="5"/>
    <s v="Yes"/>
    <x v="1"/>
    <n v="0.13"/>
    <x v="2"/>
    <s v="Total Pervious"/>
    <m/>
    <m/>
    <m/>
    <m/>
    <n v="7.0000000000000007E-2"/>
    <s v="Developed Pervious "/>
    <m/>
    <m/>
    <m/>
    <m/>
    <m/>
    <m/>
    <n v="93.673799999999986"/>
    <m/>
    <m/>
    <m/>
    <n v="0.12727281790927622"/>
    <n v="0.19243724019579378"/>
    <n v="0.02"/>
    <n v="0.92437240195793768"/>
    <n v="1.8487448039158753E-2"/>
    <n v="2.3529496078950577E-3"/>
    <n v="0"/>
    <s v="No"/>
    <m/>
    <n v="1"/>
    <n v="2.3529496078950577E-3"/>
    <m/>
    <m/>
    <m/>
    <m/>
    <m/>
    <m/>
    <m/>
    <m/>
    <m/>
    <m/>
    <s v=""/>
    <n v="0"/>
    <s v=""/>
    <s v=""/>
    <s v=""/>
    <s v=""/>
    <m/>
    <m/>
  </r>
  <r>
    <s v="{58FAB0D1-9360-4D0D-A45D-6BDFD798DD7A}"/>
    <s v="Hinesburg HES 021-1(19)"/>
    <s v="VTrans"/>
    <s v="Vtrans TS4"/>
    <m/>
    <m/>
    <n v="0.37"/>
    <n v="0.12"/>
    <n v="0.5"/>
    <s v="7720-INDS.A"/>
    <s v="S/N 002"/>
    <m/>
    <m/>
    <m/>
    <x v="0"/>
    <m/>
    <x v="12"/>
    <m/>
    <m/>
    <m/>
    <x v="7"/>
    <x v="5"/>
    <s v="Yes"/>
    <x v="1"/>
    <n v="0.55000000000000004"/>
    <x v="2"/>
    <s v="Total Pervious"/>
    <m/>
    <m/>
    <m/>
    <m/>
    <n v="3.79"/>
    <s v="Developed Pervious "/>
    <m/>
    <m/>
    <m/>
    <m/>
    <m/>
    <m/>
    <n v="499.32"/>
    <m/>
    <m/>
    <m/>
    <n v="0.538461921923861"/>
    <n v="0.1809979853718959"/>
    <n v="0.02"/>
    <n v="0.80997985371895898"/>
    <n v="1.619959707437918E-2"/>
    <n v="8.7228661750623684E-3"/>
    <n v="0"/>
    <s v="No"/>
    <m/>
    <n v="1"/>
    <n v="8.7228661750623684E-3"/>
    <m/>
    <m/>
    <m/>
    <m/>
    <m/>
    <m/>
    <m/>
    <m/>
    <m/>
    <m/>
    <s v=""/>
    <n v="0"/>
    <s v=""/>
    <s v=""/>
    <s v=""/>
    <s v=""/>
    <m/>
    <m/>
  </r>
  <r>
    <m/>
    <s v="Morristown AV-FY19-011 Parallel Taxiway"/>
    <s v="VTrans"/>
    <s v="Vtrans TS4"/>
    <m/>
    <m/>
    <n v="2.0230000000000001"/>
    <n v="0"/>
    <n v="6.8239999999999998"/>
    <s v="4272-9015.1A4"/>
    <s v="S/N 007"/>
    <m/>
    <m/>
    <m/>
    <x v="0"/>
    <m/>
    <x v="12"/>
    <m/>
    <m/>
    <m/>
    <x v="5"/>
    <x v="0"/>
    <s v="Yes"/>
    <x v="5"/>
    <n v="2.0230000000000001"/>
    <x v="0"/>
    <s v="Total Pervious"/>
    <m/>
    <m/>
    <m/>
    <m/>
    <n v="4.8010000000000002"/>
    <s v="Developed Pervious "/>
    <m/>
    <m/>
    <m/>
    <m/>
    <m/>
    <m/>
    <n v="9054.75"/>
    <s v="8.27 in/hr"/>
    <m/>
    <m/>
    <n v="1.6388570580073019"/>
    <n v="0.80249385818108254"/>
    <n v="1.0000000000000009E-2"/>
    <n v="1.2469290905412492E-2"/>
    <n v="0.98012469290905413"/>
    <n v="1.6062842707012426"/>
    <n v="0"/>
    <s v="No"/>
    <m/>
    <n v="1"/>
    <n v="1.6062842707012426"/>
    <m/>
    <m/>
    <m/>
    <m/>
    <m/>
    <m/>
    <m/>
    <m/>
    <m/>
    <m/>
    <s v=""/>
    <n v="0"/>
    <s v=""/>
    <s v=""/>
    <s v=""/>
    <s v=""/>
    <m/>
    <m/>
  </r>
  <r>
    <m/>
    <s v="Morristown AV-FY19-011 Parallel Taxiway"/>
    <s v="VTrans"/>
    <s v="Vtrans TS4"/>
    <m/>
    <m/>
    <n v="5.8789999999999996"/>
    <n v="0"/>
    <n v="11.923"/>
    <s v="4272-9015.1A4"/>
    <s v="S/N 008"/>
    <m/>
    <m/>
    <m/>
    <x v="0"/>
    <m/>
    <x v="12"/>
    <m/>
    <m/>
    <m/>
    <x v="5"/>
    <x v="0"/>
    <s v="Yes"/>
    <x v="5"/>
    <n v="5.8789999999999996"/>
    <x v="0"/>
    <s v="Total Pervious"/>
    <m/>
    <m/>
    <m/>
    <m/>
    <n v="6.0439999999999996"/>
    <s v="Developed Pervious "/>
    <m/>
    <m/>
    <m/>
    <m/>
    <m/>
    <m/>
    <n v="17261.88"/>
    <s v="8.27 in/hr"/>
    <m/>
    <m/>
    <n v="4.762649848751817"/>
    <n v="0.67592780357364357"/>
    <n v="4.0000000000000036E-2"/>
    <n v="0.37963901786821785"/>
    <n v="0.95518556071472871"/>
    <n v="4.5492143662679219"/>
    <n v="0"/>
    <s v="No"/>
    <m/>
    <n v="1"/>
    <n v="4.5492143662679219"/>
    <m/>
    <m/>
    <m/>
    <m/>
    <m/>
    <m/>
    <m/>
    <m/>
    <m/>
    <m/>
    <s v=""/>
    <n v="0"/>
    <s v=""/>
    <s v=""/>
    <s v=""/>
    <s v=""/>
    <m/>
    <m/>
  </r>
  <r>
    <s v="{41FC48C0-146C-4FBF-9F4B-32BF0207C0F4}"/>
    <s v="Bakersfield STP SCPR(11)"/>
    <s v="VTrans"/>
    <s v="Vtrans TS4"/>
    <m/>
    <m/>
    <n v="0.01"/>
    <n v="0"/>
    <n v="0.18"/>
    <s v="7737-INDS"/>
    <s v="S/N 001"/>
    <m/>
    <m/>
    <m/>
    <x v="0"/>
    <m/>
    <x v="13"/>
    <m/>
    <m/>
    <m/>
    <x v="4"/>
    <x v="4"/>
    <s v="Yes"/>
    <x v="1"/>
    <n v="0.13"/>
    <x v="1"/>
    <s v="Total Pervious"/>
    <m/>
    <m/>
    <m/>
    <m/>
    <n v="0.05"/>
    <s v="Developed Pervious "/>
    <m/>
    <m/>
    <m/>
    <m/>
    <m/>
    <m/>
    <n v="137.21400000000003"/>
    <m/>
    <m/>
    <m/>
    <n v="8.6168089213896501E-2"/>
    <n v="0.28176645969875724"/>
    <n v="3.9999999999999994E-2"/>
    <n v="0.40883229849378616"/>
    <n v="3.6353291939751439E-2"/>
    <n v="3.1324937030833265E-3"/>
    <n v="0"/>
    <s v="No"/>
    <m/>
    <n v="1"/>
    <n v="3.1324937030833265E-3"/>
    <m/>
    <m/>
    <m/>
    <m/>
    <m/>
    <m/>
    <m/>
    <m/>
    <m/>
    <m/>
    <s v=""/>
    <n v="0"/>
    <s v=""/>
    <s v=""/>
    <s v=""/>
    <s v=""/>
    <m/>
    <s v="ANM 2023 09 28 - updated construction status"/>
  </r>
  <r>
    <s v="{84006399-3BC6-412B-97FE-561D34B919DC}"/>
    <s v="Bakersfield STP SCPR(11)"/>
    <s v="VTrans"/>
    <s v="Vtrans TS4"/>
    <m/>
    <m/>
    <n v="0.01"/>
    <n v="0"/>
    <n v="7.0000000000000007E-2"/>
    <s v="7737-INDS"/>
    <s v="S/N 001"/>
    <m/>
    <m/>
    <m/>
    <x v="0"/>
    <m/>
    <x v="13"/>
    <m/>
    <m/>
    <m/>
    <x v="4"/>
    <x v="4"/>
    <s v="Yes"/>
    <x v="1"/>
    <n v="0.05"/>
    <x v="1"/>
    <s v="Total Pervious"/>
    <m/>
    <m/>
    <m/>
    <m/>
    <n v="0.02"/>
    <s v="Developed Pervious "/>
    <m/>
    <m/>
    <m/>
    <m/>
    <m/>
    <m/>
    <n v="38.623200000000004"/>
    <m/>
    <m/>
    <m/>
    <n v="3.3141572774575578E-2"/>
    <n v="0.20759314241575133"/>
    <n v="3.9999999999999994E-2"/>
    <n v="3.7965712078756597E-2"/>
    <n v="2.1518628483150264E-2"/>
    <n v="7.1316119188337933E-4"/>
    <n v="0"/>
    <s v="No"/>
    <m/>
    <n v="1"/>
    <n v="7.1316119188337933E-4"/>
    <m/>
    <m/>
    <m/>
    <m/>
    <m/>
    <m/>
    <m/>
    <m/>
    <m/>
    <m/>
    <s v=""/>
    <n v="0"/>
    <s v=""/>
    <s v=""/>
    <s v=""/>
    <s v=""/>
    <m/>
    <s v="ANM 2023 09 28 - updated construction status"/>
  </r>
  <r>
    <s v="{F7728102-6C6F-45F1-8FD5-F8AE3A196784}"/>
    <s v="Bakersfield STP SCPR(11)"/>
    <s v="VTrans"/>
    <s v="Vtrans TS4"/>
    <m/>
    <m/>
    <n v="0.01"/>
    <n v="0"/>
    <n v="0.33"/>
    <s v="7737-INDS"/>
    <s v="S/N 001"/>
    <m/>
    <m/>
    <m/>
    <x v="0"/>
    <m/>
    <x v="13"/>
    <m/>
    <m/>
    <m/>
    <x v="4"/>
    <x v="4"/>
    <s v="Yes"/>
    <x v="1"/>
    <n v="0.14000000000000001"/>
    <x v="1"/>
    <s v="Total Pervious"/>
    <m/>
    <m/>
    <m/>
    <m/>
    <n v="0.19"/>
    <s v="Developed Pervious "/>
    <m/>
    <m/>
    <m/>
    <m/>
    <m/>
    <m/>
    <n v="139.69919999999999"/>
    <m/>
    <m/>
    <m/>
    <n v="9.2796403768811625E-2"/>
    <n v="0.2497188429434459"/>
    <n v="3.9999999999999994E-2"/>
    <n v="0.24859421471722945"/>
    <n v="2.9943768588689176E-2"/>
    <n v="2.7786740403158592E-3"/>
    <n v="0"/>
    <s v="No"/>
    <m/>
    <n v="1"/>
    <n v="2.7786740403158592E-3"/>
    <m/>
    <m/>
    <m/>
    <m/>
    <m/>
    <m/>
    <m/>
    <m/>
    <m/>
    <m/>
    <s v=""/>
    <n v="0"/>
    <s v=""/>
    <s v=""/>
    <s v=""/>
    <s v=""/>
    <m/>
    <s v="ANM 2023 09 28 - updated construction status"/>
  </r>
  <r>
    <s v="{48147A25-8710-4A06-B468-FEE8A4FB478E}"/>
    <s v="Bakersfield STP SCPR(11)"/>
    <s v="VTrans"/>
    <s v="Vtrans TS4"/>
    <m/>
    <m/>
    <n v="0.01"/>
    <n v="0"/>
    <n v="0.22"/>
    <s v="7737-INDS"/>
    <s v="S/N 003"/>
    <m/>
    <m/>
    <m/>
    <x v="0"/>
    <m/>
    <x v="13"/>
    <m/>
    <m/>
    <m/>
    <x v="4"/>
    <x v="4"/>
    <s v="Yes"/>
    <x v="1"/>
    <n v="0.16"/>
    <x v="1"/>
    <s v="Total Pervious"/>
    <m/>
    <m/>
    <m/>
    <m/>
    <n v="0.06"/>
    <s v="Developed Pervious "/>
    <m/>
    <m/>
    <m/>
    <m/>
    <m/>
    <m/>
    <n v="154.6875"/>
    <m/>
    <m/>
    <m/>
    <n v="0.10605303287864186"/>
    <n v="0.25888057296760214"/>
    <n v="3.9999999999999994E-2"/>
    <n v="0.29440286483801065"/>
    <n v="3.1776114593520421E-2"/>
    <n v="3.3699533257421127E-3"/>
    <n v="0"/>
    <s v="No"/>
    <m/>
    <n v="1"/>
    <n v="3.3699533257421127E-3"/>
    <m/>
    <m/>
    <m/>
    <m/>
    <m/>
    <m/>
    <m/>
    <m/>
    <m/>
    <m/>
    <s v=""/>
    <n v="0"/>
    <s v=""/>
    <s v=""/>
    <s v=""/>
    <s v=""/>
    <m/>
    <s v="ANM 2023 09 28 - updated construction status"/>
  </r>
  <r>
    <s v="{4ECAC25C-B437-4027-A024-20C80D6EDC6D}"/>
    <s v="Bakersfield STP SCPR(11)"/>
    <s v="VTrans"/>
    <s v="Vtrans TS4"/>
    <m/>
    <m/>
    <n v="0.01"/>
    <n v="0"/>
    <n v="0.1"/>
    <s v="7737-INDS"/>
    <s v="S/N 003"/>
    <m/>
    <m/>
    <m/>
    <x v="0"/>
    <m/>
    <x v="13"/>
    <m/>
    <m/>
    <m/>
    <x v="4"/>
    <x v="4"/>
    <s v="Yes"/>
    <x v="1"/>
    <n v="7.0000000000000007E-2"/>
    <x v="1"/>
    <s v="Total Pervious"/>
    <m/>
    <m/>
    <m/>
    <m/>
    <n v="0.03"/>
    <s v="Developed Pervious "/>
    <m/>
    <m/>
    <m/>
    <m/>
    <m/>
    <m/>
    <n v="62.927999999999997"/>
    <m/>
    <m/>
    <m/>
    <n v="4.6398201884405813E-2"/>
    <n v="0.240269648922461"/>
    <n v="3.9999999999999994E-2"/>
    <n v="0.20134824461230494"/>
    <n v="2.8053929784492199E-2"/>
    <n v="1.3016518977918142E-3"/>
    <n v="0"/>
    <s v="No"/>
    <m/>
    <n v="1"/>
    <n v="1.3016518977918142E-3"/>
    <m/>
    <m/>
    <m/>
    <m/>
    <m/>
    <m/>
    <m/>
    <m/>
    <m/>
    <m/>
    <s v=""/>
    <n v="0"/>
    <s v=""/>
    <s v=""/>
    <s v=""/>
    <s v=""/>
    <m/>
    <s v="ANM 2023 09 28 - updated construction status"/>
  </r>
  <r>
    <s v="{CEDE9251-94B9-4AD6-AA9A-8A4109CFE5DD}"/>
    <s v="Colchester-Essex NH 030-1(34)   shared use path along vt15"/>
    <s v="VTrans"/>
    <s v="Vtrans TS4"/>
    <m/>
    <m/>
    <n v="1.59"/>
    <n v="0.12"/>
    <n v="5.2"/>
    <s v="7757-INDS"/>
    <s v="S/N 001"/>
    <m/>
    <m/>
    <m/>
    <x v="0"/>
    <m/>
    <x v="13"/>
    <m/>
    <m/>
    <m/>
    <x v="1"/>
    <x v="1"/>
    <m/>
    <x v="3"/>
    <n v="1.43"/>
    <x v="1"/>
    <s v="Total Pervious"/>
    <m/>
    <m/>
    <m/>
    <m/>
    <n v="0"/>
    <s v="Developed Pervious "/>
    <m/>
    <m/>
    <m/>
    <m/>
    <m/>
    <n v="0.74"/>
    <m/>
    <m/>
    <s v="A"/>
    <s v="A"/>
    <n v="0.93919605200033052"/>
    <s v=""/>
    <s v=""/>
    <s v=""/>
    <s v=""/>
    <s v=""/>
    <n v="0.69500507848024462"/>
    <s v="No"/>
    <m/>
    <n v="1"/>
    <n v="0.69500507848024462"/>
    <m/>
    <m/>
    <m/>
    <m/>
    <m/>
    <m/>
    <m/>
    <m/>
    <m/>
    <m/>
    <s v=""/>
    <n v="0"/>
    <s v=""/>
    <s v=""/>
    <s v=""/>
    <s v=""/>
    <m/>
    <m/>
  </r>
  <r>
    <s v="{C5565388-2626-41FF-89B4-CADB5AA7F3E2}"/>
    <s v="Colchester-Essex NH 030-1(34)   shared use path along vt15"/>
    <s v="VTrans"/>
    <s v="Vtrans TS4"/>
    <m/>
    <m/>
    <n v="7.0000000000000007E-2"/>
    <n v="0.02"/>
    <n v="0.24"/>
    <s v="7757-INDS"/>
    <s v="S/N 002"/>
    <m/>
    <m/>
    <m/>
    <x v="0"/>
    <m/>
    <x v="13"/>
    <m/>
    <m/>
    <m/>
    <x v="1"/>
    <x v="1"/>
    <m/>
    <x v="12"/>
    <n v="0.27"/>
    <x v="1"/>
    <s v="Total Pervious"/>
    <m/>
    <m/>
    <m/>
    <m/>
    <n v="0.36"/>
    <s v="Developed Pervious "/>
    <m/>
    <m/>
    <m/>
    <m/>
    <m/>
    <m/>
    <n v="755.5"/>
    <s v="0.52 in/hr"/>
    <s v="A"/>
    <s v="A"/>
    <n v="0.17733072310495754"/>
    <n v="0.62368163282694677"/>
    <n v="9.9999999999999978E-2"/>
    <n v="0.11840816413473394"/>
    <n v="0.78184081641347336"/>
    <n v="0.13864439732757158"/>
    <n v="0"/>
    <s v="No"/>
    <m/>
    <n v="1"/>
    <n v="0.13864439732757158"/>
    <m/>
    <m/>
    <m/>
    <m/>
    <m/>
    <m/>
    <m/>
    <m/>
    <m/>
    <m/>
    <s v=""/>
    <n v="0"/>
    <s v=""/>
    <s v=""/>
    <s v=""/>
    <s v=""/>
    <m/>
    <m/>
  </r>
  <r>
    <s v="{C712E45A-707E-409C-8696-2AE091C63A5C}"/>
    <s v="Colchester-Essex NH 030-1(34)   shared use path along vt15"/>
    <s v="VTrans"/>
    <s v="Vtrans TS4"/>
    <m/>
    <m/>
    <n v="7.0000000000000007E-2"/>
    <n v="0.03"/>
    <n v="0.19"/>
    <s v="7757-INDS"/>
    <s v="S/N 003"/>
    <m/>
    <m/>
    <m/>
    <x v="0"/>
    <m/>
    <x v="13"/>
    <m/>
    <m/>
    <m/>
    <x v="1"/>
    <x v="1"/>
    <m/>
    <x v="3"/>
    <n v="7.0000000000000007E-2"/>
    <x v="1"/>
    <s v="Total Pervious"/>
    <m/>
    <m/>
    <m/>
    <m/>
    <n v="0"/>
    <s v="Developed Pervious "/>
    <m/>
    <m/>
    <m/>
    <m/>
    <m/>
    <n v="0.74"/>
    <m/>
    <m/>
    <s v="A"/>
    <s v="A"/>
    <n v="4.59746319161001E-2"/>
    <s v=""/>
    <s v=""/>
    <s v=""/>
    <s v=""/>
    <s v=""/>
    <n v="3.4021227617914075E-2"/>
    <s v="No"/>
    <m/>
    <n v="1"/>
    <n v="3.4021227617914075E-2"/>
    <m/>
    <m/>
    <m/>
    <m/>
    <m/>
    <m/>
    <m/>
    <m/>
    <m/>
    <m/>
    <s v=""/>
    <n v="0"/>
    <s v=""/>
    <s v=""/>
    <s v=""/>
    <s v=""/>
    <m/>
    <m/>
  </r>
  <r>
    <s v="{FDB202CA-07F3-4954-AA54-834FCCCE726A}"/>
    <s v="Colchester-Essex NH 030-1(34)   shared use path along vt16"/>
    <s v="VTrans"/>
    <s v="Vtrans TS5"/>
    <m/>
    <m/>
    <n v="7.0000000000000007E-2"/>
    <n v="0.02"/>
    <n v="0.24"/>
    <s v="7757-INDS"/>
    <s v="S/N 002"/>
    <m/>
    <m/>
    <m/>
    <x v="0"/>
    <m/>
    <x v="13"/>
    <m/>
    <m/>
    <m/>
    <x v="1"/>
    <x v="1"/>
    <m/>
    <x v="3"/>
    <n v="0.05"/>
    <x v="1"/>
    <s v="Total Pervious"/>
    <m/>
    <m/>
    <m/>
    <m/>
    <n v="0"/>
    <s v="Developed Pervious "/>
    <m/>
    <m/>
    <m/>
    <m/>
    <m/>
    <n v="0.74"/>
    <m/>
    <m/>
    <s v="A"/>
    <s v="A"/>
    <n v="3.2839022797214359E-2"/>
    <s v=""/>
    <s v=""/>
    <s v=""/>
    <s v=""/>
    <s v=""/>
    <n v="2.4300876869938627E-2"/>
    <s v="No"/>
    <m/>
    <n v="1"/>
    <n v="2.4300876869938627E-2"/>
    <m/>
    <m/>
    <m/>
    <m/>
    <m/>
    <m/>
    <m/>
    <m/>
    <m/>
    <m/>
    <s v=""/>
    <n v="0"/>
    <s v=""/>
    <s v=""/>
    <s v=""/>
    <s v=""/>
    <m/>
    <m/>
  </r>
  <r>
    <s v="_x0009_{482F9593-509E-4BFD-9721-512F51BD866A}"/>
    <s v="Exit 19 South"/>
    <s v="VTrans"/>
    <s v="Vtrans TS4"/>
    <n v="44.791848999999999"/>
    <n v="-73.067646999999994"/>
    <n v="0"/>
    <n v="0"/>
    <n v="57.937372000000003"/>
    <s v="NA"/>
    <s v="NA"/>
    <m/>
    <m/>
    <m/>
    <x v="0"/>
    <m/>
    <x v="13"/>
    <m/>
    <m/>
    <s v="Rugg Brook"/>
    <x v="2"/>
    <x v="2"/>
    <s v="Yes"/>
    <x v="13"/>
    <n v="3.7774040000000002"/>
    <x v="1"/>
    <s v="Total Pervious"/>
    <m/>
    <m/>
    <m/>
    <m/>
    <n v="54.159968000000006"/>
    <s v="Developed Pervious "/>
    <m/>
    <m/>
    <m/>
    <m/>
    <m/>
    <m/>
    <n v="90169.2"/>
    <m/>
    <m/>
    <m/>
    <n v="2.7238597651384264"/>
    <n v="1.1622758568545473"/>
    <n v="1.0000000000000009E-2"/>
    <n v="0.32455171370909452"/>
    <n v="0.11324551713709095"/>
    <n v="0.30846490771201623"/>
    <n v="0"/>
    <s v="No"/>
    <m/>
    <n v="1"/>
    <n v="0.30846490771201623"/>
    <m/>
    <m/>
    <m/>
    <m/>
    <m/>
    <m/>
    <m/>
    <m/>
    <m/>
    <m/>
    <s v=""/>
    <n v="0"/>
    <s v=""/>
    <s v=""/>
    <s v=""/>
    <s v=""/>
    <m/>
    <s v="ANM 2023 09 28 - updated with construction status."/>
  </r>
  <r>
    <s v="_x0009_{83A7A758-4FAE-4906-830C-8985D77C2FA3}"/>
    <s v="Fairfield Rd / I-89"/>
    <s v="VTrans"/>
    <s v="Vtrans TS4"/>
    <n v="44.801417396146114"/>
    <n v="-73.058357284381913"/>
    <n v="0"/>
    <n v="0"/>
    <n v="28.922588999999999"/>
    <s v="NA"/>
    <s v="NA"/>
    <m/>
    <m/>
    <m/>
    <x v="0"/>
    <m/>
    <x v="13"/>
    <m/>
    <m/>
    <s v="Stevens Brook"/>
    <x v="2"/>
    <x v="2"/>
    <s v="Yes"/>
    <x v="4"/>
    <n v="2.0712319999999997"/>
    <x v="2"/>
    <s v="Total Pervious"/>
    <m/>
    <m/>
    <m/>
    <m/>
    <n v="26.851357"/>
    <s v="Developed Pervious "/>
    <m/>
    <m/>
    <m/>
    <m/>
    <m/>
    <m/>
    <n v="29795.040000000001"/>
    <m/>
    <m/>
    <m/>
    <n v="2.1696370498774584"/>
    <n v="0.91497449915313067"/>
    <n v="4.0000000000000036E-2"/>
    <n v="0.57487249576565325"/>
    <n v="0.5329948998306262"/>
    <n v="1.1564054820682512"/>
    <n v="0"/>
    <s v="No"/>
    <m/>
    <n v="1"/>
    <n v="1.1564054820682512"/>
    <m/>
    <m/>
    <m/>
    <m/>
    <m/>
    <m/>
    <m/>
    <m/>
    <m/>
    <m/>
    <s v=""/>
    <n v="0"/>
    <s v=""/>
    <s v=""/>
    <s v=""/>
    <s v=""/>
    <m/>
    <s v="ANM 2023 09 28 - updated with construction status."/>
  </r>
  <r>
    <s v="_x0009_{1DDB9F69-A04D-47FF-91B9-0023781ED7A8}"/>
    <s v="Median A1"/>
    <s v="VTrans"/>
    <s v="Vtrans TS4"/>
    <n v="44.809692248563799"/>
    <n v="-73.064184657109308"/>
    <n v="0"/>
    <n v="0"/>
    <n v="0.89557600000000004"/>
    <s v="NA"/>
    <s v="NA"/>
    <m/>
    <m/>
    <m/>
    <x v="0"/>
    <m/>
    <x v="13"/>
    <m/>
    <m/>
    <s v="Stevens Brook"/>
    <x v="2"/>
    <x v="2"/>
    <s v="Yes"/>
    <x v="4"/>
    <n v="0.41595199999999999"/>
    <x v="1"/>
    <s v="Total Pervious"/>
    <m/>
    <m/>
    <m/>
    <m/>
    <n v="0.47962400000000005"/>
    <s v="Developed Pervious "/>
    <m/>
    <m/>
    <m/>
    <m/>
    <m/>
    <m/>
    <n v="2468"/>
    <m/>
    <m/>
    <m/>
    <n v="0.29994009563945467"/>
    <n v="1.1833629632205107"/>
    <n v="4.0000000000000036E-2"/>
    <n v="0.36672592644102142"/>
    <n v="0.58466903705764084"/>
    <n v="0.17536568689249665"/>
    <n v="0"/>
    <s v="No"/>
    <m/>
    <n v="1"/>
    <n v="0.17536568689249665"/>
    <m/>
    <m/>
    <m/>
    <m/>
    <m/>
    <m/>
    <m/>
    <m/>
    <m/>
    <m/>
    <s v=""/>
    <n v="0"/>
    <s v=""/>
    <s v=""/>
    <s v=""/>
    <s v=""/>
    <m/>
    <s v="ANM 2023 09 28 - updated with construction status."/>
  </r>
  <r>
    <s v="_x0009_{D100D892-A26E-40D3-BABF-42B7390EF22B}"/>
    <s v="Median A2"/>
    <s v="VTrans"/>
    <s v="Vtrans TS4"/>
    <n v="44.808490933459041"/>
    <n v="-73.064334165805462"/>
    <n v="0"/>
    <n v="0"/>
    <n v="0.65100000000000002"/>
    <s v="NA"/>
    <s v="NA"/>
    <m/>
    <m/>
    <m/>
    <x v="0"/>
    <m/>
    <x v="13"/>
    <m/>
    <m/>
    <s v="Stevens Brook"/>
    <x v="2"/>
    <x v="2"/>
    <s v="Yes"/>
    <x v="4"/>
    <n v="0.29594599999999999"/>
    <x v="1"/>
    <s v="Total Pervious"/>
    <m/>
    <m/>
    <m/>
    <m/>
    <n v="0.35505400000000004"/>
    <s v="Developed Pervious "/>
    <m/>
    <m/>
    <m/>
    <m/>
    <m/>
    <m/>
    <n v="1881"/>
    <m/>
    <m/>
    <m/>
    <n v="0.21340460328142202"/>
    <n v="1.2377510604522526"/>
    <n v="4.0000000000000036E-2"/>
    <n v="0.47550212090450517"/>
    <n v="0.58902008483618018"/>
    <n v="0.12569959752925458"/>
    <n v="0"/>
    <s v="No"/>
    <m/>
    <n v="1"/>
    <n v="0.12569959752925458"/>
    <m/>
    <m/>
    <m/>
    <m/>
    <m/>
    <m/>
    <m/>
    <m/>
    <m/>
    <m/>
    <s v=""/>
    <n v="0"/>
    <s v=""/>
    <s v=""/>
    <s v=""/>
    <s v=""/>
    <m/>
    <s v="ANM 2023 09 28 - updated with construction status."/>
  </r>
  <r>
    <s v="_x0009_{D2F235F6-793E-431F-B86B-4839A58D33BB}"/>
    <s v="SDC105b"/>
    <s v="VTrans"/>
    <s v="Vtrans TS4"/>
    <n v="44.807250506354244"/>
    <n v="-73.064477367315448"/>
    <n v="0"/>
    <n v="0"/>
    <n v="0.99"/>
    <s v="NA"/>
    <s v="NA"/>
    <m/>
    <m/>
    <m/>
    <x v="0"/>
    <m/>
    <x v="13"/>
    <m/>
    <m/>
    <s v="Stevens Brook"/>
    <x v="2"/>
    <x v="2"/>
    <s v="Yes"/>
    <x v="4"/>
    <n v="0.52774699999999997"/>
    <x v="1"/>
    <s v="Total Pervious"/>
    <m/>
    <m/>
    <m/>
    <m/>
    <n v="0.46225300000000002"/>
    <s v="Developed Pervious "/>
    <m/>
    <m/>
    <m/>
    <m/>
    <m/>
    <m/>
    <n v="2333"/>
    <m/>
    <m/>
    <m/>
    <n v="0.38055469297763994"/>
    <n v="0.98130553951775201"/>
    <n v="4.0000000000000036E-2"/>
    <n v="0.90652769758876006"/>
    <n v="0.54626110790355042"/>
    <n v="0.20788222820386107"/>
    <n v="0"/>
    <s v="No"/>
    <m/>
    <n v="1"/>
    <n v="0.20788222820386107"/>
    <m/>
    <m/>
    <m/>
    <m/>
    <m/>
    <m/>
    <m/>
    <m/>
    <m/>
    <m/>
    <s v=""/>
    <n v="0"/>
    <s v=""/>
    <s v=""/>
    <s v=""/>
    <s v=""/>
    <m/>
    <s v="ANM 2023 09 28 - updated with construction status."/>
  </r>
  <r>
    <s v="_x0009_{3055C3CA-BF63-4E13-B4FA-7C04E29FA4B7}"/>
    <s v="SDC105c"/>
    <s v="VTrans"/>
    <s v="Vtrans TS4"/>
    <n v="44.80585555369133"/>
    <n v="-73.064650706453207"/>
    <n v="0"/>
    <n v="0"/>
    <n v="0.84"/>
    <s v="NA"/>
    <s v="NA"/>
    <m/>
    <m/>
    <m/>
    <x v="0"/>
    <m/>
    <x v="13"/>
    <m/>
    <m/>
    <s v="Stevens Brook"/>
    <x v="2"/>
    <x v="2"/>
    <s v="Yes"/>
    <x v="4"/>
    <n v="0.43724499999999999"/>
    <x v="1"/>
    <s v="Total Pervious"/>
    <m/>
    <m/>
    <m/>
    <m/>
    <n v="0.40275499999999997"/>
    <s v="Developed Pervious "/>
    <m/>
    <m/>
    <m/>
    <m/>
    <m/>
    <m/>
    <n v="1798.9999999999998"/>
    <m/>
    <m/>
    <m/>
    <n v="0.31529432991757067"/>
    <n v="0.9162745722728125"/>
    <n v="4.0000000000000036E-2"/>
    <n v="0.58137286136406241"/>
    <n v="0.53325491445456252"/>
    <n v="0.16813225092820275"/>
    <n v="0"/>
    <s v="No"/>
    <m/>
    <n v="1"/>
    <n v="0.16813225092820275"/>
    <m/>
    <m/>
    <m/>
    <m/>
    <m/>
    <m/>
    <m/>
    <m/>
    <m/>
    <m/>
    <s v=""/>
    <n v="0"/>
    <s v=""/>
    <s v=""/>
    <s v=""/>
    <s v=""/>
    <m/>
    <s v="ANM 2023 09 28 - updated with construction status."/>
  </r>
  <r>
    <s v="{77B8F07C-DF06-4381-857F-A8D50E193C0B}"/>
    <s v="SDC118"/>
    <s v="VTrans"/>
    <s v="Vtrans TS4"/>
    <n v="44.804350292935652"/>
    <n v="-73.064799141746946"/>
    <n v="0"/>
    <n v="0"/>
    <n v="1.076762"/>
    <s v="NA"/>
    <s v="NA"/>
    <m/>
    <m/>
    <m/>
    <x v="0"/>
    <m/>
    <x v="13"/>
    <m/>
    <m/>
    <s v="Stevens Brook"/>
    <x v="2"/>
    <x v="2"/>
    <s v="Yes"/>
    <x v="4"/>
    <n v="0.54790300000000003"/>
    <x v="1"/>
    <s v="Total Pervious"/>
    <m/>
    <m/>
    <m/>
    <m/>
    <n v="0.52885899999999997"/>
    <s v="Developed Pervious "/>
    <m/>
    <m/>
    <m/>
    <m/>
    <m/>
    <m/>
    <n v="2544"/>
    <m/>
    <m/>
    <m/>
    <n v="0.39508904445980342"/>
    <n v="1.0055621108713464"/>
    <n v="4.0000000000000036E-2"/>
    <n v="1.1124221742692786E-2"/>
    <n v="0.57044496886970764"/>
    <n v="0.22537655766763509"/>
    <n v="0"/>
    <s v="No"/>
    <m/>
    <n v="1"/>
    <n v="0.22537655766763509"/>
    <m/>
    <m/>
    <m/>
    <m/>
    <m/>
    <m/>
    <m/>
    <m/>
    <m/>
    <m/>
    <s v=""/>
    <n v="0"/>
    <s v=""/>
    <s v=""/>
    <s v=""/>
    <s v=""/>
    <m/>
    <s v="ANM 2023 09 28 - updated with construction status."/>
  </r>
  <r>
    <s v="_x0009_{A9080CA7-451D-45C2-9D44-745FA67C0868}"/>
    <s v="SDC140b"/>
    <s v="VTrans"/>
    <s v="Vtrans TS4"/>
    <n v="44.800150680467389"/>
    <n v="-73.066247500136214"/>
    <n v="0"/>
    <n v="0"/>
    <n v="1"/>
    <s v="NA"/>
    <s v="NA"/>
    <m/>
    <m/>
    <m/>
    <x v="0"/>
    <m/>
    <x v="13"/>
    <m/>
    <m/>
    <s v="Stevens Brook"/>
    <x v="2"/>
    <x v="2"/>
    <s v="Yes"/>
    <x v="4"/>
    <n v="0.50434000000000001"/>
    <x v="1"/>
    <s v="Total Pervious"/>
    <m/>
    <m/>
    <m/>
    <m/>
    <n v="0.49565999999999999"/>
    <s v="Developed Pervious "/>
    <m/>
    <m/>
    <m/>
    <m/>
    <m/>
    <m/>
    <n v="2359"/>
    <m/>
    <m/>
    <m/>
    <n v="0.36367606799535185"/>
    <n v="1.0084413862953623"/>
    <n v="4.0000000000000036E-2"/>
    <n v="1.6882772590724571E-2"/>
    <n v="0.57067531090362889"/>
    <n v="0.20754095317145668"/>
    <n v="0"/>
    <s v="No"/>
    <m/>
    <n v="1"/>
    <n v="0.20754095317145668"/>
    <m/>
    <m/>
    <m/>
    <m/>
    <m/>
    <m/>
    <m/>
    <m/>
    <m/>
    <m/>
    <s v=""/>
    <n v="0"/>
    <s v=""/>
    <s v=""/>
    <s v=""/>
    <s v=""/>
    <m/>
    <s v="ANM 2023 09 28 - updated with construction status."/>
  </r>
  <r>
    <s v="{190D60C8-4FC1-4837-A625-F109838EB9A3}"/>
    <s v="SDC27"/>
    <s v="VTrans"/>
    <s v="Vtrans TS4"/>
    <n v="44.788733000000001"/>
    <n v="-73.071890999999994"/>
    <n v="0"/>
    <n v="0"/>
    <n v="1.613326"/>
    <s v="NA"/>
    <s v="NA"/>
    <m/>
    <m/>
    <m/>
    <x v="0"/>
    <m/>
    <x v="13"/>
    <m/>
    <m/>
    <s v="Rugg Brook"/>
    <x v="2"/>
    <x v="2"/>
    <s v="Yes"/>
    <x v="4"/>
    <n v="0.425927"/>
    <x v="1"/>
    <s v="Total Pervious"/>
    <m/>
    <m/>
    <m/>
    <m/>
    <n v="1.1873990000000001"/>
    <s v="Developed Pervious "/>
    <m/>
    <m/>
    <m/>
    <m/>
    <m/>
    <m/>
    <n v="2762"/>
    <m/>
    <m/>
    <m/>
    <n v="0.30713299879655831"/>
    <n v="1.0019591838509243"/>
    <n v="4.0000000000000036E-2"/>
    <n v="3.9183677018486129E-3"/>
    <n v="0.57015673470807393"/>
    <n v="0.17511394771494448"/>
    <n v="0"/>
    <s v="No"/>
    <m/>
    <n v="1"/>
    <n v="0.17511394771494448"/>
    <m/>
    <m/>
    <m/>
    <m/>
    <m/>
    <m/>
    <m/>
    <m/>
    <m/>
    <m/>
    <s v=""/>
    <n v="0"/>
    <s v=""/>
    <s v=""/>
    <s v=""/>
    <s v=""/>
    <m/>
    <s v="ANM 2023 09 28 - updated with construction status."/>
  </r>
  <r>
    <s v="{582606F3-8315-4088-B383-A4C656B880A1}"/>
    <s v="SDC280"/>
    <s v="VTrans"/>
    <s v="Vtrans TS4"/>
    <n v="44.786703000000003"/>
    <n v="-73.072318999999993"/>
    <n v="0"/>
    <n v="0"/>
    <n v="2.1271429999999998"/>
    <s v="NA"/>
    <s v="NA"/>
    <m/>
    <m/>
    <m/>
    <x v="0"/>
    <m/>
    <x v="13"/>
    <m/>
    <m/>
    <s v="Rugg Brook"/>
    <x v="2"/>
    <x v="2"/>
    <s v="Yes"/>
    <x v="4"/>
    <n v="0.37075799999999998"/>
    <x v="1"/>
    <s v="Total Pervious"/>
    <m/>
    <m/>
    <m/>
    <m/>
    <n v="1.7563849999999999"/>
    <s v="Developed Pervious "/>
    <m/>
    <m/>
    <m/>
    <m/>
    <m/>
    <m/>
    <n v="2741"/>
    <m/>
    <m/>
    <m/>
    <n v="0.26735101641317494"/>
    <n v="0.91729027272064667"/>
    <n v="4.0000000000000036E-2"/>
    <n v="0.58645136360323324"/>
    <n v="0.53345805454412931"/>
    <n v="0.14262055309616789"/>
    <n v="0"/>
    <s v="No"/>
    <m/>
    <n v="1"/>
    <n v="0.14262055309616789"/>
    <m/>
    <m/>
    <m/>
    <m/>
    <m/>
    <m/>
    <m/>
    <m/>
    <m/>
    <m/>
    <s v=""/>
    <n v="0"/>
    <s v=""/>
    <s v=""/>
    <s v=""/>
    <s v=""/>
    <m/>
    <s v="ANM 2023 09 28 - updated with construction status."/>
  </r>
  <r>
    <s v="{619A3C6C-FB2B-47C2-93EA-242D2E8577A5}"/>
    <s v="SDC29"/>
    <s v="VTrans"/>
    <s v="Vtrans TS4"/>
    <n v="44.781798000000002"/>
    <n v="-73.073290999999998"/>
    <n v="0"/>
    <n v="0"/>
    <n v="2.2489509999999999"/>
    <s v="NA"/>
    <s v="NA"/>
    <m/>
    <m/>
    <m/>
    <x v="0"/>
    <m/>
    <x v="13"/>
    <m/>
    <m/>
    <s v="Rugg Brook"/>
    <x v="2"/>
    <x v="2"/>
    <s v="Yes"/>
    <x v="4"/>
    <n v="0.40857900000000003"/>
    <x v="1"/>
    <s v="Total Pervious"/>
    <m/>
    <m/>
    <m/>
    <m/>
    <n v="1.8403719999999999"/>
    <s v="Developed Pervious "/>
    <m/>
    <m/>
    <m/>
    <m/>
    <m/>
    <m/>
    <n v="2358"/>
    <m/>
    <m/>
    <m/>
    <n v="0.29462347659410887"/>
    <n v="0.79256239551541807"/>
    <n v="5.9999999999999942E-2"/>
    <n v="0.96281197757709014"/>
    <n v="0.46776871865462533"/>
    <n v="0.13781564613199729"/>
    <n v="0"/>
    <s v="No"/>
    <m/>
    <n v="1"/>
    <n v="0.13781564613199729"/>
    <m/>
    <m/>
    <m/>
    <m/>
    <m/>
    <m/>
    <m/>
    <m/>
    <m/>
    <m/>
    <s v=""/>
    <n v="0"/>
    <s v=""/>
    <s v=""/>
    <s v=""/>
    <s v=""/>
    <m/>
    <s v="ANM 2023 09 28 - updated with construction status."/>
  </r>
  <r>
    <s v="_x0009_{22B4BC15-BFA0-4107-8AFC-83F424AB52C9}"/>
    <s v="SDC342"/>
    <s v="VTrans"/>
    <s v="Vtrans TS4"/>
    <n v="44.780473000000001"/>
    <n v="-73.073555999999996"/>
    <n v="0"/>
    <n v="0"/>
    <n v="1.5959539999999999"/>
    <s v="NA"/>
    <s v="NA"/>
    <m/>
    <m/>
    <m/>
    <x v="0"/>
    <m/>
    <x v="13"/>
    <m/>
    <m/>
    <s v="Rugg Brook"/>
    <x v="2"/>
    <x v="2"/>
    <s v="Yes"/>
    <x v="4"/>
    <n v="0.31003999999999998"/>
    <x v="1"/>
    <s v="Total Pervious"/>
    <m/>
    <m/>
    <m/>
    <m/>
    <n v="1.285914"/>
    <s v="Developed Pervious "/>
    <m/>
    <m/>
    <m/>
    <m/>
    <m/>
    <m/>
    <n v="2358"/>
    <m/>
    <m/>
    <m/>
    <n v="0.22356768870460181"/>
    <n v="0.97944089532914802"/>
    <n v="4.0000000000000036E-2"/>
    <n v="0.8972044766457401"/>
    <n v="0.54588817906582965"/>
    <n v="0.12204295848491133"/>
    <n v="0"/>
    <s v="No"/>
    <m/>
    <n v="1"/>
    <n v="0.12204295848491133"/>
    <m/>
    <m/>
    <m/>
    <m/>
    <m/>
    <m/>
    <m/>
    <m/>
    <m/>
    <m/>
    <s v=""/>
    <n v="0"/>
    <s v=""/>
    <s v=""/>
    <s v=""/>
    <s v=""/>
    <m/>
    <s v="ANM 2023 09 28 - updated with construction status."/>
  </r>
  <r>
    <s v="_x0009_{E15A1F8E-CC2F-415B-8CAB-63078865417A}"/>
    <s v="SDC347"/>
    <s v="VTrans"/>
    <s v="Vtrans TS4"/>
    <n v="44.783057999999997"/>
    <n v="-73.073025999999999"/>
    <n v="0"/>
    <n v="0"/>
    <n v="1.4011169999999997"/>
    <s v="NA"/>
    <s v="NA"/>
    <m/>
    <m/>
    <m/>
    <x v="0"/>
    <m/>
    <x v="13"/>
    <m/>
    <m/>
    <s v="Rugg Brook"/>
    <x v="2"/>
    <x v="2"/>
    <s v="Yes"/>
    <x v="4"/>
    <n v="0.30404500000000001"/>
    <x v="1"/>
    <s v="Total Pervious"/>
    <m/>
    <m/>
    <m/>
    <m/>
    <n v="1.0970719999999998"/>
    <s v="Developed Pervious "/>
    <m/>
    <m/>
    <m/>
    <m/>
    <m/>
    <m/>
    <n v="2608"/>
    <m/>
    <m/>
    <m/>
    <n v="0.21924473587985635"/>
    <n v="1.1129069420483122"/>
    <n v="4.0000000000000036E-2"/>
    <n v="0.2258138840966244"/>
    <n v="0.57903255536386489"/>
    <n v="0.12694983966658885"/>
    <n v="0"/>
    <s v="No"/>
    <m/>
    <n v="1"/>
    <n v="0.12694983966658885"/>
    <m/>
    <m/>
    <m/>
    <m/>
    <m/>
    <m/>
    <m/>
    <m/>
    <m/>
    <m/>
    <s v=""/>
    <n v="0"/>
    <s v=""/>
    <s v=""/>
    <s v=""/>
    <s v=""/>
    <m/>
    <s v="ANM 2023 09 28 - updated with construction status."/>
  </r>
  <r>
    <s v="{1511C0AF-ED40-4F6D-8B56-9F98A64A227B}"/>
    <s v="SDC408"/>
    <s v="VTrans"/>
    <s v="Vtrans TS4"/>
    <n v="44.801550090580385"/>
    <n v="-73.065567760340713"/>
    <n v="0"/>
    <n v="0"/>
    <n v="0.94"/>
    <s v="NA"/>
    <s v="NA"/>
    <m/>
    <m/>
    <m/>
    <x v="0"/>
    <m/>
    <x v="13"/>
    <m/>
    <m/>
    <s v="Stevens Brook"/>
    <x v="2"/>
    <x v="2"/>
    <s v="Yes"/>
    <x v="4"/>
    <n v="0.46958299999999997"/>
    <x v="1"/>
    <s v="Total Pervious"/>
    <m/>
    <m/>
    <m/>
    <m/>
    <n v="0.47041699999999997"/>
    <s v="Developed Pervious "/>
    <m/>
    <m/>
    <m/>
    <m/>
    <m/>
    <m/>
    <n v="2047"/>
    <m/>
    <m/>
    <m/>
    <n v="0.33861303691450467"/>
    <n v="0.94815863252062538"/>
    <n v="4.0000000000000036E-2"/>
    <n v="0.74079316260312678"/>
    <n v="0.53963172650412505"/>
    <n v="0.18272633772697919"/>
    <n v="0"/>
    <s v="No"/>
    <m/>
    <n v="1"/>
    <n v="0.18272633772697919"/>
    <m/>
    <m/>
    <m/>
    <m/>
    <m/>
    <m/>
    <m/>
    <m/>
    <m/>
    <m/>
    <s v=""/>
    <n v="0"/>
    <s v=""/>
    <s v=""/>
    <s v=""/>
    <s v=""/>
    <m/>
    <s v="ANM 2023 09 28 - updated with construction status."/>
  </r>
  <r>
    <s v="{DC85B007-2CB9-4669-BAA8-93B41EEEC3ED}"/>
    <s v="SDC83a"/>
    <s v="VTrans"/>
    <s v="Vtrans TS4"/>
    <n v="44.785364000000001"/>
    <n v="-73.072582999999995"/>
    <n v="0"/>
    <n v="0"/>
    <n v="1.7061580000000001"/>
    <s v="NA"/>
    <s v="NA"/>
    <m/>
    <m/>
    <m/>
    <x v="0"/>
    <m/>
    <x v="13"/>
    <m/>
    <m/>
    <s v="Rugg Brook"/>
    <x v="2"/>
    <x v="2"/>
    <s v="Yes"/>
    <x v="4"/>
    <n v="0.26914500000000002"/>
    <x v="1"/>
    <s v="Total Pervious"/>
    <m/>
    <m/>
    <m/>
    <m/>
    <n v="1.4370130000000001"/>
    <s v="Developed Pervious "/>
    <m/>
    <m/>
    <m/>
    <m/>
    <m/>
    <m/>
    <n v="2534"/>
    <m/>
    <m/>
    <m/>
    <n v="0.19407858849309786"/>
    <n v="1.0242832962387245"/>
    <n v="4.0000000000000036E-2"/>
    <n v="4.8566592477448989E-2"/>
    <n v="0.57194266369909796"/>
    <n v="0.1110018248697035"/>
    <n v="0"/>
    <s v="No"/>
    <m/>
    <n v="1"/>
    <n v="0.1110018248697035"/>
    <m/>
    <m/>
    <m/>
    <m/>
    <m/>
    <m/>
    <m/>
    <m/>
    <m/>
    <m/>
    <s v=""/>
    <n v="0"/>
    <s v=""/>
    <s v=""/>
    <s v=""/>
    <s v=""/>
    <m/>
    <s v="ANM 2023 09 28 - updated with construction status."/>
  </r>
  <r>
    <s v="{E15A1F8E-CC2F-415B-8CAB-63078865417A}"/>
    <s v="SDC83b"/>
    <s v="VTrans"/>
    <s v="Vtrans TS4"/>
    <n v="44.784140999999998"/>
    <n v="-73.072811000000002"/>
    <n v="0"/>
    <n v="0"/>
    <n v="1.8029290000000002"/>
    <s v="NA"/>
    <s v="NA"/>
    <m/>
    <m/>
    <m/>
    <x v="0"/>
    <m/>
    <x v="13"/>
    <m/>
    <m/>
    <s v="Rugg Brook"/>
    <x v="2"/>
    <x v="2"/>
    <s v="Yes"/>
    <x v="4"/>
    <n v="0.36291200000000001"/>
    <x v="1"/>
    <s v="Total Pervious"/>
    <m/>
    <m/>
    <m/>
    <m/>
    <n v="1.4400170000000001"/>
    <s v="Developed Pervious "/>
    <m/>
    <m/>
    <m/>
    <m/>
    <m/>
    <m/>
    <n v="3339"/>
    <m/>
    <m/>
    <m/>
    <n v="0.26169332035596843"/>
    <n v="1.1264746847868274"/>
    <n v="4.0000000000000036E-2"/>
    <n v="0.25294936957365488"/>
    <n v="0.58011797478294613"/>
    <n v="0.15181299901912915"/>
    <n v="0"/>
    <s v="No"/>
    <m/>
    <n v="1"/>
    <n v="0.15181299901912915"/>
    <m/>
    <m/>
    <m/>
    <m/>
    <m/>
    <m/>
    <m/>
    <m/>
    <m/>
    <m/>
    <s v=""/>
    <n v="0"/>
    <s v=""/>
    <s v=""/>
    <s v=""/>
    <s v=""/>
    <m/>
    <s v="ANM 2023 09 28 - updated with construction status."/>
  </r>
  <r>
    <s v="_x0009_{89626BE4-96C4-4171-82C2-35246B7CBDEF}"/>
    <s v="SDC87"/>
    <s v="VTrans"/>
    <s v="Vtrans TS4"/>
    <n v="44.778277000000003"/>
    <n v="-73.073983999999996"/>
    <n v="0"/>
    <n v="0"/>
    <n v="4.9200359999999996"/>
    <s v="NA"/>
    <s v="NA"/>
    <m/>
    <m/>
    <m/>
    <x v="0"/>
    <m/>
    <x v="13"/>
    <m/>
    <m/>
    <s v="Rugg Brook"/>
    <x v="2"/>
    <x v="2"/>
    <s v="Yes"/>
    <x v="4"/>
    <n v="0.92305499999999996"/>
    <x v="1"/>
    <s v="Total Pervious"/>
    <m/>
    <m/>
    <m/>
    <m/>
    <n v="3.9969809999999999"/>
    <s v="Developed Pervious "/>
    <m/>
    <m/>
    <m/>
    <m/>
    <m/>
    <m/>
    <n v="5579"/>
    <m/>
    <m/>
    <m/>
    <n v="0.66560854372734557"/>
    <n v="0.82846448598318412"/>
    <n v="4.0000000000000036E-2"/>
    <n v="0.1423224299159204"/>
    <n v="0.5156928971966368"/>
    <n v="0.34324959831358914"/>
    <n v="0"/>
    <s v="No"/>
    <m/>
    <n v="1"/>
    <n v="0.34324959831358914"/>
    <m/>
    <m/>
    <m/>
    <m/>
    <m/>
    <m/>
    <m/>
    <m/>
    <m/>
    <m/>
    <s v=""/>
    <n v="0"/>
    <s v=""/>
    <s v=""/>
    <s v=""/>
    <s v=""/>
    <m/>
    <s v="ANM 2023 09 28 - updated with construction status."/>
  </r>
  <r>
    <s v="{4FFB9036-71FD-429B-945E-2D00DA1F82B2}"/>
    <s v="SDC98b"/>
    <s v="VTrans"/>
    <s v="Vtrans TS4"/>
    <n v="44.802865361715163"/>
    <n v="-73.065105701089863"/>
    <n v="0"/>
    <n v="0"/>
    <n v="0.85"/>
    <s v="NA"/>
    <s v="NA"/>
    <m/>
    <m/>
    <m/>
    <x v="0"/>
    <m/>
    <x v="13"/>
    <m/>
    <m/>
    <s v="Stevens Brook"/>
    <x v="2"/>
    <x v="2"/>
    <s v="Yes"/>
    <x v="4"/>
    <n v="0.41673700000000002"/>
    <x v="1"/>
    <s v="Total Pervious"/>
    <m/>
    <m/>
    <m/>
    <m/>
    <n v="0.43326299999999995"/>
    <s v="Developed Pervious "/>
    <m/>
    <m/>
    <m/>
    <m/>
    <m/>
    <m/>
    <n v="1968.0000000000002"/>
    <m/>
    <m/>
    <m/>
    <n v="0.30050615368239469"/>
    <n v="1.0060317810130059"/>
    <n v="4.0000000000000036E-2"/>
    <n v="1.2063562026011887E-2"/>
    <n v="0.57048254248104047"/>
    <n v="0.1714335145839308"/>
    <n v="0"/>
    <s v="No"/>
    <m/>
    <n v="1"/>
    <n v="0.1714335145839308"/>
    <m/>
    <m/>
    <m/>
    <m/>
    <m/>
    <m/>
    <m/>
    <m/>
    <m/>
    <m/>
    <s v=""/>
    <n v="0"/>
    <s v=""/>
    <s v=""/>
    <s v=""/>
    <s v=""/>
    <m/>
    <s v="ANM 2023 09 28 - updated with construction status."/>
  </r>
  <r>
    <s v="{78E12F7C-F2C1-4903-949A-E397BA8F4C1A}"/>
    <s v="South Hero STP HES 028-1(22)"/>
    <s v="VTrans"/>
    <s v="Vtrans TS4"/>
    <m/>
    <m/>
    <n v="0.03"/>
    <n v="0.04"/>
    <n v="0.22"/>
    <s v="7809-INDS"/>
    <s v="S/N 001"/>
    <m/>
    <m/>
    <m/>
    <x v="0"/>
    <m/>
    <x v="13"/>
    <m/>
    <m/>
    <m/>
    <x v="8"/>
    <x v="6"/>
    <s v="Yes"/>
    <x v="1"/>
    <n v="0.16"/>
    <x v="1"/>
    <s v="Total Pervious"/>
    <m/>
    <m/>
    <m/>
    <m/>
    <n v="0.06"/>
    <s v="Developed Pervious "/>
    <m/>
    <m/>
    <m/>
    <m/>
    <m/>
    <m/>
    <n v="152.46"/>
    <m/>
    <m/>
    <m/>
    <n v="0.10368797205149896"/>
    <n v="0.25524556084879385"/>
    <n v="3.9999999999999994E-2"/>
    <n v="0.2762278042439692"/>
    <n v="3.1049112169758766E-2"/>
    <n v="3.2194194748818034E-3"/>
    <n v="0"/>
    <s v="No"/>
    <m/>
    <n v="1"/>
    <n v="3.2194194748818034E-3"/>
    <m/>
    <m/>
    <m/>
    <m/>
    <m/>
    <m/>
    <m/>
    <m/>
    <m/>
    <m/>
    <s v=""/>
    <n v="0"/>
    <s v=""/>
    <s v=""/>
    <s v=""/>
    <s v=""/>
    <m/>
    <s v="ANM 2022 07 07 - updated with construction status."/>
  </r>
  <r>
    <s v="{4BF276D9-3DDA-4037-8311-C70C976C8477}"/>
    <s v="South Hero STP HES 028-1(22)"/>
    <s v="VTrans"/>
    <s v="Vtrans TS4"/>
    <m/>
    <m/>
    <n v="0.05"/>
    <n v="0.02"/>
    <n v="0.28000000000000003"/>
    <s v="7809-INDS"/>
    <s v="S/N 002"/>
    <m/>
    <m/>
    <m/>
    <x v="0"/>
    <m/>
    <x v="13"/>
    <m/>
    <m/>
    <m/>
    <x v="8"/>
    <x v="6"/>
    <s v="Yes"/>
    <x v="1"/>
    <n v="0.19"/>
    <x v="2"/>
    <s v="Total Pervious"/>
    <m/>
    <m/>
    <m/>
    <m/>
    <n v="0.09"/>
    <s v="Developed Pervious "/>
    <m/>
    <m/>
    <m/>
    <m/>
    <m/>
    <m/>
    <n v="145.30724999999998"/>
    <m/>
    <m/>
    <m/>
    <n v="0.18748429175175774"/>
    <n v="0.20467989388737204"/>
    <n v="3.9999999999999994E-2"/>
    <n v="2.3399469436860137E-2"/>
    <n v="2.0935978777474405E-2"/>
    <n v="3.9251671532246199E-3"/>
    <n v="0"/>
    <s v="No"/>
    <m/>
    <n v="1"/>
    <n v="3.9251671532246199E-3"/>
    <m/>
    <m/>
    <m/>
    <m/>
    <m/>
    <m/>
    <m/>
    <m/>
    <m/>
    <m/>
    <s v=""/>
    <n v="0"/>
    <s v=""/>
    <s v=""/>
    <s v=""/>
    <s v=""/>
    <m/>
    <s v="ANM 2022 07 07 - updated with construction status."/>
  </r>
  <r>
    <s v="{70068F96-BE16-4587-8135-9E2CD5E2B322}"/>
    <s v="Clarendon - Rutland Airport Runway 1 Safety Area and Taxiway E Relocation "/>
    <s v="VTrans"/>
    <s v="Vtrans TS4"/>
    <m/>
    <m/>
    <n v="2.6"/>
    <n v="0"/>
    <n v="21.36"/>
    <s v="3769-9015.A"/>
    <s v="S/N 001"/>
    <m/>
    <m/>
    <m/>
    <x v="1"/>
    <m/>
    <x v="14"/>
    <m/>
    <m/>
    <m/>
    <x v="3"/>
    <x v="3"/>
    <s v="Yes"/>
    <x v="13"/>
    <n v="5.08"/>
    <x v="0"/>
    <s v="Total Pervious"/>
    <m/>
    <m/>
    <m/>
    <m/>
    <n v="16.28"/>
    <s v="Developed Pervious "/>
    <m/>
    <m/>
    <m/>
    <m/>
    <m/>
    <m/>
    <n v="31426"/>
    <m/>
    <s v="C/D"/>
    <s v="C/D"/>
    <n v="4.1557811879849789"/>
    <n v="0.92852202079540591"/>
    <n v="9.999999999999995E-3"/>
    <n v="0.64261010397702945"/>
    <n v="9.6426101039770284E-2"/>
    <n v="0.40072577673181614"/>
    <n v="0"/>
    <s v="No"/>
    <m/>
    <n v="1"/>
    <n v="0.40072577673181614"/>
    <m/>
    <m/>
    <m/>
    <m/>
    <m/>
    <m/>
    <m/>
    <m/>
    <m/>
    <m/>
    <s v=""/>
    <n v="0"/>
    <s v=""/>
    <s v=""/>
    <s v=""/>
    <s v=""/>
    <m/>
    <s v="Not constructed. Channel protection volume vs water wuality volume"/>
  </r>
  <r>
    <s v="TimberCurbRemoval_ID63"/>
    <s v="Berlin-Barre Town STP 2943(1)"/>
    <s v="VTrans"/>
    <s v="Vtrans TS4"/>
    <m/>
    <m/>
    <m/>
    <m/>
    <m/>
    <m/>
    <m/>
    <m/>
    <m/>
    <m/>
    <x v="1"/>
    <n v="2016"/>
    <x v="15"/>
    <m/>
    <m/>
    <m/>
    <x v="1"/>
    <x v="1"/>
    <s v="Yes"/>
    <x v="3"/>
    <n v="0.245"/>
    <x v="2"/>
    <s v="Total Pervious"/>
    <m/>
    <m/>
    <m/>
    <m/>
    <n v="1.0000000000000001E-5"/>
    <s v="Developed Pervious "/>
    <m/>
    <m/>
    <m/>
    <m/>
    <m/>
    <n v="0.49"/>
    <n v="0"/>
    <m/>
    <m/>
    <m/>
    <n v="0.24941197980357582"/>
    <n v="0"/>
    <s v=""/>
    <s v=""/>
    <s v=""/>
    <s v=""/>
    <n v="0.12221187010375215"/>
    <s v="No"/>
    <m/>
    <n v="1"/>
    <n v="0.12221187010375215"/>
    <m/>
    <m/>
    <m/>
    <m/>
    <m/>
    <m/>
    <m/>
    <m/>
    <m/>
    <m/>
    <s v=""/>
    <n v="0"/>
    <s v=""/>
    <s v=""/>
    <s v=""/>
    <s v=""/>
    <m/>
    <s v="ANM 2023 09 28 - updated construction status - are these being maintained or should we remove?"/>
  </r>
  <r>
    <s v="TimberCurbRemoval_ID64"/>
    <s v="Berlin-Barre Town STP 2943(1)"/>
    <s v="VTrans"/>
    <s v="Vtrans TS4"/>
    <m/>
    <m/>
    <m/>
    <m/>
    <m/>
    <m/>
    <m/>
    <m/>
    <m/>
    <m/>
    <x v="1"/>
    <n v="2016"/>
    <x v="15"/>
    <m/>
    <m/>
    <m/>
    <x v="1"/>
    <x v="1"/>
    <s v="Yes"/>
    <x v="3"/>
    <n v="1.02"/>
    <x v="2"/>
    <s v="Total Pervious"/>
    <m/>
    <m/>
    <m/>
    <m/>
    <n v="1.0000000000000001E-5"/>
    <s v="Developed Pervious "/>
    <m/>
    <m/>
    <m/>
    <m/>
    <m/>
    <n v="0.49"/>
    <n v="0"/>
    <m/>
    <m/>
    <m/>
    <n v="1.0383682424475402"/>
    <n v="0"/>
    <s v=""/>
    <s v=""/>
    <s v=""/>
    <s v=""/>
    <n v="0.50880043879929471"/>
    <s v="No"/>
    <m/>
    <n v="1"/>
    <n v="0.50880043879929471"/>
    <m/>
    <m/>
    <m/>
    <m/>
    <m/>
    <m/>
    <m/>
    <m/>
    <m/>
    <m/>
    <s v=""/>
    <n v="0"/>
    <s v=""/>
    <s v=""/>
    <s v=""/>
    <s v=""/>
    <m/>
    <s v="ANM 2023 09 28 - updated construction status - are these being maintained or should we remove?"/>
  </r>
  <r>
    <s v="TimberCurbRemoval_ID65"/>
    <s v="Berlin-Barre Town STP 2943(1)"/>
    <s v="VTrans"/>
    <s v="Vtrans TS4"/>
    <m/>
    <m/>
    <m/>
    <m/>
    <m/>
    <m/>
    <m/>
    <m/>
    <m/>
    <m/>
    <x v="1"/>
    <n v="2016"/>
    <x v="15"/>
    <m/>
    <m/>
    <m/>
    <x v="1"/>
    <x v="1"/>
    <s v="Yes"/>
    <x v="3"/>
    <n v="0.83"/>
    <x v="2"/>
    <s v="Total Pervious"/>
    <m/>
    <m/>
    <m/>
    <m/>
    <n v="1.0000000000000001E-5"/>
    <s v="Developed Pervious "/>
    <m/>
    <m/>
    <m/>
    <m/>
    <m/>
    <n v="0.67"/>
    <n v="0"/>
    <m/>
    <m/>
    <m/>
    <n v="0.84494670708966502"/>
    <n v="0"/>
    <s v=""/>
    <s v=""/>
    <s v=""/>
    <s v=""/>
    <n v="0.5661142937500756"/>
    <s v="No"/>
    <m/>
    <n v="1"/>
    <n v="0.5661142937500756"/>
    <m/>
    <m/>
    <m/>
    <m/>
    <m/>
    <m/>
    <m/>
    <m/>
    <m/>
    <m/>
    <s v=""/>
    <n v="0"/>
    <s v=""/>
    <s v=""/>
    <s v=""/>
    <s v=""/>
    <m/>
    <s v="ANM 2023 09 28 - updated construction status - are these being maintained or should we remove?"/>
  </r>
  <r>
    <m/>
    <s v="Access Rd. East"/>
    <s v="VTrans"/>
    <s v="Vtrans TS4"/>
    <n v="44.794291437813087"/>
    <n v="-73.065050103775874"/>
    <n v="0"/>
    <n v="0"/>
    <n v="85.130742999999995"/>
    <s v="NA"/>
    <s v="NA"/>
    <m/>
    <m/>
    <m/>
    <x v="2"/>
    <n v="2022"/>
    <x v="15"/>
    <m/>
    <m/>
    <s v="Rugg Brook"/>
    <x v="2"/>
    <x v="2"/>
    <s v="Yes"/>
    <x v="13"/>
    <n v="2.7547329999999999"/>
    <x v="1"/>
    <s v="Total Pervious"/>
    <m/>
    <m/>
    <m/>
    <m/>
    <n v="82.376009999999994"/>
    <s v="Developed Pervious "/>
    <m/>
    <m/>
    <m/>
    <m/>
    <m/>
    <m/>
    <n v="79279.199999999997"/>
    <m/>
    <m/>
    <m/>
    <n v="1.986418816308521"/>
    <n v="0.91390972204683574"/>
    <n v="9.999999999999995E-3"/>
    <n v="0.56954861023417858"/>
    <n v="9.5695486102341784E-2"/>
    <n v="0.19009131422948228"/>
    <n v="0"/>
    <s v="No"/>
    <m/>
    <n v="1"/>
    <n v="0.19009131422948228"/>
    <m/>
    <m/>
    <m/>
    <m/>
    <m/>
    <m/>
    <m/>
    <m/>
    <m/>
    <m/>
    <s v=""/>
    <n v="0"/>
    <s v=""/>
    <s v=""/>
    <s v=""/>
    <s v=""/>
    <m/>
    <s v="ANM 2023 09 28 - it does not appear this ED pond was constructed in 2022. "/>
  </r>
  <r>
    <m/>
    <s v="Access Rd. West "/>
    <s v="VTrans"/>
    <s v="Vtrans TS4"/>
    <n v="44.798114205934183"/>
    <n v="-73.075779865678058"/>
    <n v="0"/>
    <n v="0"/>
    <n v="13.704242000000001"/>
    <s v="NA"/>
    <s v="NA"/>
    <m/>
    <m/>
    <m/>
    <x v="2"/>
    <n v="2022"/>
    <x v="15"/>
    <m/>
    <m/>
    <s v="Rugg Brook"/>
    <x v="2"/>
    <x v="2"/>
    <s v="Yes"/>
    <x v="13"/>
    <n v="0.55273300000000003"/>
    <x v="1"/>
    <s v="Total Pervious"/>
    <m/>
    <m/>
    <m/>
    <m/>
    <n v="13.151509000000001"/>
    <s v="Developed Pervious "/>
    <m/>
    <m/>
    <m/>
    <m/>
    <m/>
    <m/>
    <n v="28401.120000000003"/>
    <m/>
    <m/>
    <m/>
    <n v="0.39857192388324308"/>
    <n v="1.3875519524099111"/>
    <n v="1.0000000000000009E-2"/>
    <n v="0.77510390481982228"/>
    <n v="0.11775103904819822"/>
    <n v="4.6932258172691248E-2"/>
    <n v="0"/>
    <s v="No"/>
    <m/>
    <n v="1"/>
    <n v="4.6932258172691248E-2"/>
    <m/>
    <m/>
    <m/>
    <m/>
    <m/>
    <m/>
    <m/>
    <m/>
    <m/>
    <m/>
    <s v=""/>
    <n v="0"/>
    <s v=""/>
    <s v=""/>
    <s v=""/>
    <s v=""/>
    <m/>
    <s v="ANM 2023 09 28 - it does not appear this ED pond was constructed in 2022. "/>
  </r>
  <r>
    <m/>
    <s v="I-89 / Holyoke Farm"/>
    <s v="VTrans"/>
    <s v="Vtrans TS4"/>
    <n v="44.775085044542102"/>
    <n v="-73.070944196363683"/>
    <n v="0"/>
    <n v="0"/>
    <n v="61.828035999999997"/>
    <s v="NA"/>
    <s v="NA"/>
    <m/>
    <m/>
    <m/>
    <x v="2"/>
    <n v="2022"/>
    <x v="15"/>
    <m/>
    <m/>
    <s v="Rugg Brook"/>
    <x v="2"/>
    <x v="2"/>
    <s v="Yes"/>
    <x v="5"/>
    <n v="0.49702999999999997"/>
    <x v="1"/>
    <s v="Total Pervious"/>
    <m/>
    <m/>
    <m/>
    <m/>
    <n v="61.331005999999995"/>
    <s v="Developed Pervious "/>
    <m/>
    <m/>
    <m/>
    <m/>
    <m/>
    <m/>
    <n v="62116.56"/>
    <s v="2.41 in/hr"/>
    <m/>
    <m/>
    <n v="0.35840487781205083"/>
    <n v="0.98317741809136916"/>
    <n v="2.0000000000000018E-2"/>
    <n v="0.9158870904568458"/>
    <n v="0.92831774180913695"/>
    <n v="0.3327136068238627"/>
    <n v="0"/>
    <s v="No"/>
    <m/>
    <n v="1"/>
    <n v="0.3327136068238627"/>
    <m/>
    <m/>
    <m/>
    <m/>
    <m/>
    <m/>
    <m/>
    <m/>
    <m/>
    <m/>
    <s v=""/>
    <n v="0"/>
    <s v=""/>
    <s v=""/>
    <s v=""/>
    <s v=""/>
    <m/>
    <s v="ANM 2023 09 28 - it does not appear this practice was constructed in 2022. "/>
  </r>
  <r>
    <m/>
    <s v="Pittsford-Brandon NH 019-3(491) Seg 1"/>
    <s v="VTrans"/>
    <s v="Vtrans TS4"/>
    <m/>
    <m/>
    <n v="0.86"/>
    <n v="1.45"/>
    <n v="1.31"/>
    <s v="7092-9010"/>
    <s v="S/N 001"/>
    <m/>
    <m/>
    <m/>
    <x v="3"/>
    <n v="2022"/>
    <x v="15"/>
    <m/>
    <m/>
    <m/>
    <x v="3"/>
    <x v="3"/>
    <s v="Yes"/>
    <x v="1"/>
    <n v="0.42"/>
    <x v="1"/>
    <s v="Total Pervious"/>
    <m/>
    <m/>
    <m/>
    <m/>
    <n v="0.89000000000000012"/>
    <s v="Developed Pervious "/>
    <m/>
    <m/>
    <m/>
    <m/>
    <m/>
    <m/>
    <n v="483.94736"/>
    <m/>
    <m/>
    <m/>
    <n v="0.2881810476576499"/>
    <n v="0.27131475177773468"/>
    <n v="3.0000000000000002E-2"/>
    <n v="0.35657375888867332"/>
    <n v="3.0697212766660202E-2"/>
    <n v="8.8463549352659227E-3"/>
    <n v="0"/>
    <s v="No"/>
    <m/>
    <n v="1"/>
    <n v="8.8463549352659227E-3"/>
    <m/>
    <m/>
    <m/>
    <m/>
    <m/>
    <m/>
    <m/>
    <m/>
    <m/>
    <m/>
    <s v=""/>
    <n v="0"/>
    <s v=""/>
    <s v=""/>
    <s v=""/>
    <s v=""/>
    <m/>
    <s v="ANM 2022 07 07 - project no longer appears in historic projects or Vtransparency - was it constructed?"/>
  </r>
  <r>
    <m/>
    <s v="Pittsford-Brandon NH 019-3(491) Seg 1"/>
    <s v="VTrans"/>
    <s v="Vtrans TS4"/>
    <m/>
    <m/>
    <n v="0.86"/>
    <n v="1.45"/>
    <n v="7.38"/>
    <s v="7092-9010"/>
    <s v="S/N 001"/>
    <m/>
    <m/>
    <m/>
    <x v="3"/>
    <n v="2022"/>
    <x v="15"/>
    <m/>
    <m/>
    <m/>
    <x v="3"/>
    <x v="3"/>
    <s v="Yes"/>
    <x v="1"/>
    <n v="0.37"/>
    <x v="2"/>
    <s v="Total Pervious"/>
    <m/>
    <m/>
    <m/>
    <m/>
    <n v="7.01"/>
    <s v="Developed Pervious "/>
    <m/>
    <m/>
    <m/>
    <m/>
    <m/>
    <m/>
    <n v="433.66400000000004"/>
    <m/>
    <m/>
    <m/>
    <n v="0.39171593764352286"/>
    <n v="0.16444173444962251"/>
    <n v="0.02"/>
    <n v="0.64441734449622501"/>
    <n v="1.2888346889924501E-2"/>
    <n v="5.0485708866617575E-3"/>
    <n v="0"/>
    <s v="No"/>
    <m/>
    <n v="1"/>
    <n v="5.0485708866617575E-3"/>
    <m/>
    <m/>
    <m/>
    <m/>
    <m/>
    <m/>
    <m/>
    <m/>
    <m/>
    <m/>
    <s v=""/>
    <n v="0"/>
    <s v=""/>
    <s v=""/>
    <s v=""/>
    <s v=""/>
    <m/>
    <s v="ANM 2022 07 07 - project no longer appears in historic projects or Vtransparency - was it constructed?"/>
  </r>
  <r>
    <m/>
    <s v="Pittsford-Brandon NH 019-3(491) Seg 1"/>
    <s v="VTrans"/>
    <s v="Vtrans TS4"/>
    <m/>
    <m/>
    <n v="0.86"/>
    <n v="1.45"/>
    <n v="1.58"/>
    <s v="7092-9010"/>
    <s v="S/N 001"/>
    <m/>
    <m/>
    <m/>
    <x v="3"/>
    <n v="2022"/>
    <x v="15"/>
    <m/>
    <m/>
    <m/>
    <x v="3"/>
    <x v="3"/>
    <s v="Yes"/>
    <x v="1"/>
    <n v="0.25"/>
    <x v="1"/>
    <s v="Total Pervious"/>
    <m/>
    <m/>
    <m/>
    <m/>
    <n v="1.33"/>
    <s v="Developed Pervious "/>
    <m/>
    <m/>
    <m/>
    <m/>
    <m/>
    <m/>
    <n v="460.66944000000007"/>
    <m/>
    <m/>
    <m/>
    <n v="0.17153633789145828"/>
    <n v="0.33426287361210877"/>
    <n v="3.0000000000000002E-2"/>
    <n v="0.67131436806054379"/>
    <n v="4.0139431041816317E-2"/>
    <n v="6.8853710059598927E-3"/>
    <n v="0"/>
    <s v="No"/>
    <m/>
    <n v="1"/>
    <n v="6.8853710059598927E-3"/>
    <m/>
    <m/>
    <m/>
    <m/>
    <m/>
    <m/>
    <m/>
    <m/>
    <m/>
    <m/>
    <s v=""/>
    <n v="0"/>
    <s v=""/>
    <s v=""/>
    <s v=""/>
    <s v=""/>
    <m/>
    <s v="ANM 2022 07 07 - project no longer appears in historic projects or Vtransparency - was it constructed?"/>
  </r>
  <r>
    <m/>
    <s v="Pittsford-Brandon NH 019-3(491) Seg 1"/>
    <s v="VTrans"/>
    <s v="Vtrans TS4"/>
    <m/>
    <m/>
    <n v="0.86"/>
    <n v="1.45"/>
    <n v="2.71"/>
    <s v="7092-9010"/>
    <s v="S/N 001"/>
    <m/>
    <m/>
    <m/>
    <x v="3"/>
    <n v="2022"/>
    <x v="15"/>
    <m/>
    <m/>
    <m/>
    <x v="3"/>
    <x v="3"/>
    <s v="Yes"/>
    <x v="1"/>
    <n v="0.43"/>
    <x v="1"/>
    <s v="Total Pervious"/>
    <m/>
    <m/>
    <m/>
    <m/>
    <n v="2.2799999999999998"/>
    <s v="Developed Pervious "/>
    <m/>
    <m/>
    <m/>
    <m/>
    <m/>
    <m/>
    <n v="544.27199999999993"/>
    <m/>
    <m/>
    <m/>
    <n v="0.29504250117330821"/>
    <n v="0.25007630077466847"/>
    <n v="3.0000000000000002E-2"/>
    <n v="0.25038150387334229"/>
    <n v="2.7511445116200271E-2"/>
    <n v="8.1170455779759221E-3"/>
    <n v="0"/>
    <s v="No"/>
    <m/>
    <n v="1"/>
    <n v="8.1170455779759221E-3"/>
    <m/>
    <m/>
    <m/>
    <m/>
    <m/>
    <m/>
    <m/>
    <m/>
    <m/>
    <m/>
    <s v=""/>
    <n v="0"/>
    <s v=""/>
    <s v=""/>
    <s v=""/>
    <s v=""/>
    <m/>
    <s v="ANM 2022 07 07 - project no longer appears in historic projects or Vtransparency - was it constructed?"/>
  </r>
  <r>
    <m/>
    <s v="Pittsford-Brandon NH 019-3(491) Seg 1"/>
    <s v="VTrans"/>
    <s v="Vtrans TS4"/>
    <m/>
    <m/>
    <n v="0.09"/>
    <n v="0.56999999999999995"/>
    <n v="1.0900000000000001"/>
    <s v="7092-9010"/>
    <s v="S/N 004"/>
    <m/>
    <m/>
    <m/>
    <x v="3"/>
    <n v="2022"/>
    <x v="15"/>
    <m/>
    <m/>
    <m/>
    <x v="3"/>
    <x v="3"/>
    <s v="Yes"/>
    <x v="1"/>
    <n v="0.3"/>
    <x v="1"/>
    <s v="Total Pervious"/>
    <m/>
    <m/>
    <m/>
    <m/>
    <n v="0.79"/>
    <s v="Developed Pervious "/>
    <m/>
    <m/>
    <m/>
    <m/>
    <m/>
    <m/>
    <n v="523.0451599999999"/>
    <m/>
    <m/>
    <m/>
    <n v="0.20584360546974992"/>
    <n v="0.37370343935017764"/>
    <n v="3.0000000000000002E-2"/>
    <n v="0.86851719675088812"/>
    <n v="4.6055515902526642E-2"/>
    <n v="9.4802334451454875E-3"/>
    <n v="0"/>
    <s v="No"/>
    <m/>
    <n v="1"/>
    <n v="9.4802334451454875E-3"/>
    <m/>
    <m/>
    <m/>
    <m/>
    <m/>
    <m/>
    <m/>
    <m/>
    <m/>
    <m/>
    <s v=""/>
    <n v="0"/>
    <s v=""/>
    <s v=""/>
    <s v=""/>
    <s v=""/>
    <m/>
    <s v="ANM 2022 07 07 - project no longer appears in historic projects or Vtransparency - was it constructed?"/>
  </r>
  <r>
    <m/>
    <s v="Pittsford-Brandon NH 019-3(491) Seg 1"/>
    <s v="VTrans"/>
    <s v="Vtrans TS4"/>
    <m/>
    <m/>
    <n v="0.09"/>
    <n v="0.56999999999999995"/>
    <n v="1.43"/>
    <s v="7092-9010"/>
    <s v="S/N 004"/>
    <m/>
    <m/>
    <m/>
    <x v="3"/>
    <n v="2022"/>
    <x v="15"/>
    <m/>
    <m/>
    <m/>
    <x v="3"/>
    <x v="3"/>
    <s v="Yes"/>
    <x v="1"/>
    <n v="0.28000000000000003"/>
    <x v="1"/>
    <s v="Total Pervious"/>
    <m/>
    <m/>
    <m/>
    <m/>
    <n v="1.1499999999999999"/>
    <s v="Developed Pervious "/>
    <m/>
    <m/>
    <m/>
    <m/>
    <m/>
    <m/>
    <n v="517.62348000000009"/>
    <m/>
    <m/>
    <m/>
    <n v="0.1921206984384333"/>
    <n v="0.35709519465224132"/>
    <n v="3.0000000000000002E-2"/>
    <n v="0.78547597326120655"/>
    <n v="4.3564279197836203E-2"/>
    <n v="8.3695997464552016E-3"/>
    <n v="0"/>
    <s v="No"/>
    <m/>
    <n v="1"/>
    <n v="8.3695997464552016E-3"/>
    <m/>
    <m/>
    <m/>
    <m/>
    <m/>
    <m/>
    <m/>
    <m/>
    <m/>
    <m/>
    <s v=""/>
    <n v="0"/>
    <s v=""/>
    <s v=""/>
    <s v=""/>
    <s v=""/>
    <m/>
    <s v="ANM 2022 07 07 - project no longer appears in historic projects or Vtransparency - was it constructed?"/>
  </r>
  <r>
    <m/>
    <s v="Pittsford-Brandon NH 019-3(491) Seg 1"/>
    <s v="VTrans"/>
    <s v="Vtrans TS4"/>
    <m/>
    <m/>
    <n v="0.19"/>
    <n v="0.77"/>
    <n v="6.19"/>
    <s v="7092-9010"/>
    <s v="S/N 002"/>
    <m/>
    <m/>
    <m/>
    <x v="3"/>
    <n v="2022"/>
    <x v="15"/>
    <m/>
    <m/>
    <m/>
    <x v="3"/>
    <x v="3"/>
    <s v="Yes"/>
    <x v="1"/>
    <n v="0.46"/>
    <x v="1"/>
    <s v="Total Pervious"/>
    <m/>
    <m/>
    <m/>
    <m/>
    <n v="5.73"/>
    <s v="Developed Pervious "/>
    <m/>
    <m/>
    <m/>
    <m/>
    <m/>
    <m/>
    <n v="1505.66624"/>
    <m/>
    <m/>
    <m/>
    <n v="0.31562686172028326"/>
    <n v="0.38021646525923658"/>
    <n v="3.0000000000000002E-2"/>
    <n v="0.90108232629618279"/>
    <n v="4.7032469788885485E-2"/>
    <n v="1.4844710838419959E-2"/>
    <n v="0"/>
    <s v="No"/>
    <m/>
    <n v="1"/>
    <n v="1.4844710838419959E-2"/>
    <m/>
    <m/>
    <m/>
    <m/>
    <m/>
    <m/>
    <m/>
    <m/>
    <m/>
    <m/>
    <s v=""/>
    <n v="0"/>
    <s v=""/>
    <s v=""/>
    <s v=""/>
    <s v=""/>
    <m/>
    <s v="ANM 2022 07 07 - project no longer appears in historic projects or Vtransparency - was it constructed?"/>
  </r>
  <r>
    <m/>
    <s v="Pittsford-Brandon NH 019-3(491) Seg 1"/>
    <s v="VTrans"/>
    <s v="Vtrans TS4"/>
    <m/>
    <m/>
    <n v="0.19"/>
    <n v="0.77"/>
    <n v="0.22"/>
    <s v="7092-9010"/>
    <s v="S/N 002"/>
    <m/>
    <m/>
    <m/>
    <x v="3"/>
    <n v="2022"/>
    <x v="15"/>
    <m/>
    <m/>
    <m/>
    <x v="3"/>
    <x v="3"/>
    <s v="Yes"/>
    <x v="1"/>
    <n v="0.11"/>
    <x v="1"/>
    <s v="Total Pervious"/>
    <m/>
    <m/>
    <m/>
    <m/>
    <n v="9.9999999999999995E-7"/>
    <s v="Developed Pervious "/>
    <m/>
    <m/>
    <m/>
    <m/>
    <m/>
    <m/>
    <n v="232.85660000000001"/>
    <m/>
    <m/>
    <m/>
    <n v="7.5475988672241645E-2"/>
    <n v="0.58316115437425275"/>
    <n v="3.9999999999999994E-2"/>
    <n v="0.91580577187126389"/>
    <n v="8.6632230874850558E-2"/>
    <n v="6.5386532761612434E-3"/>
    <n v="0"/>
    <s v="No"/>
    <m/>
    <n v="1"/>
    <n v="6.5386532761612434E-3"/>
    <m/>
    <m/>
    <m/>
    <m/>
    <m/>
    <m/>
    <m/>
    <m/>
    <m/>
    <m/>
    <s v=""/>
    <n v="0"/>
    <s v=""/>
    <s v=""/>
    <s v=""/>
    <s v=""/>
    <m/>
    <s v="ANM 2022 07 07 - project no longer appears in historic projects or Vtransparency - was it constructed?"/>
  </r>
  <r>
    <m/>
    <s v="Pittsford-Brandon NH 019-3(491) Seg 1"/>
    <s v="VTrans"/>
    <s v="Vtrans TS4"/>
    <m/>
    <m/>
    <n v="0.24"/>
    <n v="0.74"/>
    <n v="0.4"/>
    <s v="7092-9010"/>
    <s v="S/N 003"/>
    <m/>
    <m/>
    <m/>
    <x v="3"/>
    <n v="2022"/>
    <x v="15"/>
    <m/>
    <m/>
    <m/>
    <x v="3"/>
    <x v="3"/>
    <s v="Yes"/>
    <x v="1"/>
    <n v="0.4"/>
    <x v="1"/>
    <s v="Total Pervious"/>
    <m/>
    <m/>
    <m/>
    <m/>
    <n v="9.9999999999999995E-7"/>
    <s v="Developed Pervious "/>
    <m/>
    <m/>
    <m/>
    <m/>
    <m/>
    <m/>
    <n v="269.16991999999999"/>
    <m/>
    <m/>
    <m/>
    <n v="0.27445814062633328"/>
    <n v="0.18537870652458649"/>
    <n v="0.02"/>
    <n v="0.85378706524586478"/>
    <n v="1.7075741304917295E-2"/>
    <n v="4.6865762083638787E-3"/>
    <n v="0"/>
    <s v="No"/>
    <m/>
    <n v="1"/>
    <n v="4.6865762083638787E-3"/>
    <m/>
    <m/>
    <m/>
    <m/>
    <m/>
    <m/>
    <m/>
    <m/>
    <m/>
    <m/>
    <s v=""/>
    <n v="0"/>
    <s v=""/>
    <s v=""/>
    <s v=""/>
    <s v=""/>
    <m/>
    <s v="ANM 2022 07 07 - project no longer appears in historic projects or Vtransparency - was it constructed?"/>
  </r>
  <r>
    <m/>
    <s v="Pittsford-Brandon NH 019-3(491) Seg 1"/>
    <s v="VTrans"/>
    <s v="Vtrans TS4"/>
    <m/>
    <m/>
    <n v="0.24"/>
    <n v="0.74"/>
    <n v="0.34"/>
    <s v="7092-9010"/>
    <s v="S/N 003"/>
    <m/>
    <m/>
    <m/>
    <x v="3"/>
    <n v="2022"/>
    <x v="15"/>
    <m/>
    <m/>
    <m/>
    <x v="3"/>
    <x v="3"/>
    <s v="Yes"/>
    <x v="1"/>
    <n v="0.16"/>
    <x v="1"/>
    <s v="Total Pervious"/>
    <m/>
    <m/>
    <m/>
    <m/>
    <n v="9.9999999999999995E-7"/>
    <s v="Developed Pervious "/>
    <m/>
    <m/>
    <m/>
    <m/>
    <m/>
    <m/>
    <n v="288.35136"/>
    <m/>
    <m/>
    <m/>
    <n v="0.1097832562505333"/>
    <n v="0.49647228656370224"/>
    <n v="3.9999999999999994E-2"/>
    <n v="0.48236143281851118"/>
    <n v="6.9294457312740448E-2"/>
    <n v="7.6073711639062253E-3"/>
    <n v="0"/>
    <s v="No"/>
    <m/>
    <n v="1"/>
    <n v="7.6073711639062253E-3"/>
    <m/>
    <m/>
    <m/>
    <m/>
    <m/>
    <m/>
    <m/>
    <m/>
    <m/>
    <m/>
    <s v=""/>
    <n v="0"/>
    <s v=""/>
    <s v=""/>
    <s v=""/>
    <s v=""/>
    <m/>
    <s v="ANM 2022 07 07 - project no longer appears in historic projects or Vtransparency - was it constructed?"/>
  </r>
  <r>
    <m/>
    <s v="Pittsford-Brandon NH 019-3(491) Seg 1"/>
    <s v="VTrans"/>
    <s v="Vtrans TS4"/>
    <m/>
    <m/>
    <n v="0.19"/>
    <n v="1.1000000000000001"/>
    <n v="0.42"/>
    <s v="7092-9010"/>
    <s v="S/N 005"/>
    <m/>
    <m/>
    <m/>
    <x v="3"/>
    <n v="2022"/>
    <x v="15"/>
    <m/>
    <m/>
    <m/>
    <x v="3"/>
    <x v="3"/>
    <s v="Yes"/>
    <x v="1"/>
    <n v="0.18"/>
    <x v="1"/>
    <s v="Total Pervious"/>
    <m/>
    <m/>
    <m/>
    <m/>
    <n v="9.9999999999999995E-7"/>
    <s v="Developed Pervious "/>
    <m/>
    <m/>
    <m/>
    <m/>
    <m/>
    <m/>
    <n v="295.2"/>
    <m/>
    <m/>
    <m/>
    <n v="0.12350616328184996"/>
    <n v="0.45179030793400821"/>
    <n v="3.9999999999999994E-2"/>
    <n v="0.25895153967004098"/>
    <n v="6.035806158680164E-2"/>
    <n v="7.454592609715479E-3"/>
    <n v="0"/>
    <s v="No"/>
    <m/>
    <n v="1"/>
    <n v="7.454592609715479E-3"/>
    <m/>
    <m/>
    <m/>
    <m/>
    <m/>
    <m/>
    <m/>
    <m/>
    <m/>
    <m/>
    <s v=""/>
    <n v="0"/>
    <s v=""/>
    <s v=""/>
    <s v=""/>
    <s v=""/>
    <m/>
    <s v="ANM 2022 07 07 - project no longer appears in historic projects or Vtransparency - was it constructed?"/>
  </r>
  <r>
    <m/>
    <s v="Pittsford-Brandon NH 019-3(491) Seg 1"/>
    <s v="VTrans"/>
    <s v="Vtrans TS4"/>
    <m/>
    <m/>
    <n v="0.19"/>
    <n v="1.1000000000000001"/>
    <n v="6.41"/>
    <s v="7092-9010"/>
    <s v="S/N 005"/>
    <m/>
    <m/>
    <m/>
    <x v="3"/>
    <n v="2022"/>
    <x v="15"/>
    <m/>
    <m/>
    <m/>
    <x v="3"/>
    <x v="3"/>
    <s v="Yes"/>
    <x v="1"/>
    <n v="4.8"/>
    <x v="1"/>
    <s v="Total Pervious"/>
    <m/>
    <m/>
    <m/>
    <m/>
    <n v="9.9999999999999995E-7"/>
    <s v="Developed Pervious "/>
    <m/>
    <m/>
    <m/>
    <m/>
    <m/>
    <m/>
    <n v="793.19723999999997"/>
    <m/>
    <m/>
    <m/>
    <n v="3.2934976875159987"/>
    <n v="4.552325738528052E-2"/>
    <s v=""/>
    <s v=""/>
    <s v=""/>
    <s v=""/>
    <n v="0"/>
    <s v="No"/>
    <m/>
    <n v="1"/>
    <s v=""/>
    <m/>
    <m/>
    <m/>
    <m/>
    <m/>
    <m/>
    <m/>
    <m/>
    <m/>
    <m/>
    <s v=""/>
    <n v="0"/>
    <s v=""/>
    <s v=""/>
    <s v=""/>
    <s v=""/>
    <m/>
    <s v="ANM 2022 07 07 - project no longer appears in historic projects or Vtransparency - was it constructed?"/>
  </r>
  <r>
    <m/>
    <s v="Pittsford-Brandon NH 019-3(491) Seg 1"/>
    <s v="VTrans"/>
    <s v="Vtrans TS4"/>
    <m/>
    <m/>
    <n v="0.28000000000000003"/>
    <n v="1.3"/>
    <n v="3.02"/>
    <s v="7092-9010"/>
    <s v="S/N 006"/>
    <m/>
    <m/>
    <m/>
    <x v="3"/>
    <n v="2022"/>
    <x v="15"/>
    <m/>
    <m/>
    <m/>
    <x v="3"/>
    <x v="3"/>
    <s v="Yes"/>
    <x v="1"/>
    <n v="0.85"/>
    <x v="1"/>
    <s v="Total Pervious"/>
    <m/>
    <m/>
    <m/>
    <m/>
    <n v="9.9999999999999995E-7"/>
    <s v="Developed Pervious "/>
    <m/>
    <m/>
    <m/>
    <m/>
    <m/>
    <m/>
    <n v="1382.46912"/>
    <m/>
    <m/>
    <m/>
    <n v="0.58322354883095817"/>
    <n v="0.44805344709838141"/>
    <n v="3.9999999999999994E-2"/>
    <n v="0.24026723549190698"/>
    <n v="5.9610689419676281E-2"/>
    <n v="3.4766357831603652E-2"/>
    <n v="0"/>
    <s v="No"/>
    <m/>
    <n v="1"/>
    <n v="3.4766357831603652E-2"/>
    <m/>
    <m/>
    <m/>
    <m/>
    <m/>
    <m/>
    <m/>
    <m/>
    <m/>
    <m/>
    <s v=""/>
    <n v="0"/>
    <s v=""/>
    <s v=""/>
    <s v=""/>
    <s v=""/>
    <m/>
    <s v="ANM 2022 07 07 - project no longer appears in historic projects or Vtransparency - was it constructed?"/>
  </r>
  <r>
    <m/>
    <s v="SASH / Federal St Connector"/>
    <s v="VTrans"/>
    <s v="Vtrans TS4"/>
    <n v="44.800376599312969"/>
    <n v="-73.083864986905169"/>
    <n v="0"/>
    <n v="0"/>
    <n v="21.118807"/>
    <s v="NA"/>
    <s v="NA"/>
    <m/>
    <m/>
    <m/>
    <x v="3"/>
    <n v="2022"/>
    <x v="15"/>
    <m/>
    <m/>
    <s v="Rugg Brook"/>
    <x v="2"/>
    <x v="2"/>
    <s v="Yes"/>
    <x v="13"/>
    <n v="4.886171"/>
    <x v="1"/>
    <s v="Total Pervious"/>
    <m/>
    <m/>
    <m/>
    <m/>
    <n v="16.232635999999999"/>
    <s v="Developed Pervious "/>
    <m/>
    <m/>
    <m/>
    <m/>
    <m/>
    <m/>
    <n v="15681.599999999999"/>
    <m/>
    <m/>
    <m/>
    <n v="3.5233839410574537"/>
    <n v="0.57336536761641232"/>
    <n v="9.999999999999995E-3"/>
    <n v="0.86682683808206173"/>
    <n v="6.8668268380820616E-2"/>
    <n v="0.24194467407320666"/>
    <n v="0"/>
    <s v="No"/>
    <m/>
    <n v="1"/>
    <n v="0.24194467407320666"/>
    <m/>
    <m/>
    <m/>
    <m/>
    <m/>
    <m/>
    <m/>
    <m/>
    <m/>
    <m/>
    <s v=""/>
    <n v="0"/>
    <s v=""/>
    <s v=""/>
    <s v=""/>
    <s v=""/>
    <m/>
    <s v="ANM 2022 07 07 - updated all Rugg and Stevens RFP practices in this table with construction status."/>
  </r>
  <r>
    <m/>
    <s v="Upper Fairfield Hill Rd"/>
    <s v="VTrans"/>
    <s v="Vtrans TS4"/>
    <n v="44.797331"/>
    <n v="-73.052788000000007"/>
    <n v="0"/>
    <n v="0"/>
    <n v="34.262712000000001"/>
    <s v="NA"/>
    <s v="NA"/>
    <m/>
    <m/>
    <m/>
    <x v="2"/>
    <n v="2022"/>
    <x v="15"/>
    <m/>
    <m/>
    <s v="Stevens Brook"/>
    <x v="2"/>
    <x v="2"/>
    <s v="Yes"/>
    <x v="13"/>
    <n v="3.3582860000000001"/>
    <x v="1"/>
    <s v="Total Pervious"/>
    <m/>
    <m/>
    <m/>
    <m/>
    <n v="30.904426000000001"/>
    <s v="Developed Pervious "/>
    <m/>
    <m/>
    <m/>
    <m/>
    <m/>
    <m/>
    <n v="55756.800000000003"/>
    <m/>
    <m/>
    <m/>
    <n v="2.421636688907955"/>
    <n v="1.1531277661654475"/>
    <n v="1.0000000000000009E-2"/>
    <n v="0.30625553233089509"/>
    <n v="0.11306255532330896"/>
    <n v="0.2737964321126104"/>
    <n v="0"/>
    <s v="No"/>
    <m/>
    <n v="1"/>
    <n v="0.2737964321126104"/>
    <m/>
    <m/>
    <m/>
    <m/>
    <m/>
    <m/>
    <m/>
    <m/>
    <m/>
    <m/>
    <s v=""/>
    <n v="0"/>
    <s v=""/>
    <s v=""/>
    <s v=""/>
    <s v=""/>
    <m/>
    <s v="ANM 2023 09 28 - it does not appear this practice was constructed in 2022. "/>
  </r>
  <r>
    <m/>
    <s v="Bartlett Bay Treatment System (BBTS) Expansion"/>
    <s v="VTrans"/>
    <s v="Vtrans TS4"/>
    <n v="44.423459106698992"/>
    <n v="-73.209791631531488"/>
    <n v="0"/>
    <n v="0"/>
    <n v="16.058857"/>
    <s v="NA"/>
    <s v="NA"/>
    <m/>
    <m/>
    <m/>
    <x v="4"/>
    <n v="2023"/>
    <x v="15"/>
    <m/>
    <m/>
    <s v="Bartlett Brook"/>
    <x v="7"/>
    <x v="5"/>
    <s v="Yes"/>
    <x v="0"/>
    <n v="9.1825829999999993"/>
    <x v="1"/>
    <s v="Total Pervious"/>
    <m/>
    <m/>
    <m/>
    <m/>
    <n v="6.8762740000000004"/>
    <s v="Developed Pervious "/>
    <m/>
    <m/>
    <m/>
    <m/>
    <m/>
    <m/>
    <n v="23958.000000000004"/>
    <m/>
    <m/>
    <m/>
    <n v="6.2110294117334792"/>
    <n v="0.63351869664357652"/>
    <n v="3.999999999999998E-2"/>
    <n v="0.16759348321788264"/>
    <n v="0.37670373932871531"/>
    <n v="2.3397180044806327"/>
    <n v="0"/>
    <s v="No"/>
    <m/>
    <n v="1"/>
    <n v="2.3397180044806327"/>
    <m/>
    <m/>
    <m/>
    <m/>
    <m/>
    <m/>
    <m/>
    <m/>
    <m/>
    <m/>
    <s v=""/>
    <n v="0"/>
    <s v=""/>
    <s v=""/>
    <s v=""/>
    <s v=""/>
    <m/>
    <m/>
  </r>
  <r>
    <m/>
    <s v="Williston CMG PARK(29)"/>
    <s v="VTrans"/>
    <s v="Vtrans TS4"/>
    <m/>
    <m/>
    <n v="2.5"/>
    <n v="0"/>
    <n v="5.01"/>
    <s v="7394-9015.A1"/>
    <s v="S/N 001"/>
    <m/>
    <m/>
    <m/>
    <x v="3"/>
    <n v="2023"/>
    <x v="15"/>
    <m/>
    <m/>
    <m/>
    <x v="1"/>
    <x v="1"/>
    <m/>
    <x v="14"/>
    <n v="1.06"/>
    <x v="0"/>
    <s v="Total Pervious"/>
    <m/>
    <m/>
    <m/>
    <m/>
    <n v="0.73"/>
    <s v="Developed Pervious "/>
    <m/>
    <m/>
    <m/>
    <m/>
    <m/>
    <m/>
    <n v="3125"/>
    <m/>
    <m/>
    <m/>
    <n v="0.85054813262544471"/>
    <n v="0.71316896932644602"/>
    <n v="7.0000000000000007E-2"/>
    <n v="0.56584484663223"/>
    <n v="0.40960913926425613"/>
    <n v="0.34839228850752879"/>
    <n v="0"/>
    <s v="No"/>
    <m/>
    <n v="1"/>
    <n v="0.34839228850752879"/>
    <m/>
    <m/>
    <m/>
    <m/>
    <m/>
    <m/>
    <m/>
    <m/>
    <m/>
    <m/>
    <s v=""/>
    <n v="0"/>
    <s v=""/>
    <s v=""/>
    <s v=""/>
    <s v=""/>
    <m/>
    <s v="ANM 2023 09 28 - updated construction status"/>
  </r>
  <r>
    <m/>
    <s v="Williston CMG PARK(29)"/>
    <s v="VTrans"/>
    <s v="Vtrans TS4"/>
    <m/>
    <m/>
    <n v="2.5"/>
    <n v="0"/>
    <n v="5.01"/>
    <s v="7394-9015.A1"/>
    <s v="S/N 001"/>
    <m/>
    <m/>
    <m/>
    <x v="3"/>
    <n v="2023"/>
    <x v="15"/>
    <m/>
    <m/>
    <m/>
    <x v="1"/>
    <x v="1"/>
    <m/>
    <x v="14"/>
    <n v="0.37"/>
    <x v="0"/>
    <s v="Total Pervious"/>
    <m/>
    <m/>
    <m/>
    <m/>
    <n v="0.14000000000000001"/>
    <s v="Developed Pervious "/>
    <m/>
    <m/>
    <m/>
    <m/>
    <m/>
    <m/>
    <n v="1414"/>
    <m/>
    <m/>
    <m/>
    <n v="0.29688944252020238"/>
    <n v="0.95580516760729106"/>
    <n v="3.999999999999998E-2"/>
    <n v="0.77902583803645531"/>
    <n v="0.47116103352145822"/>
    <n v="0.13988273657942812"/>
    <n v="0"/>
    <s v="No"/>
    <m/>
    <n v="1"/>
    <n v="0.13988273657942812"/>
    <m/>
    <m/>
    <m/>
    <m/>
    <m/>
    <m/>
    <m/>
    <m/>
    <m/>
    <m/>
    <s v=""/>
    <n v="0"/>
    <s v=""/>
    <s v=""/>
    <s v=""/>
    <s v=""/>
    <m/>
    <s v="ANM 2023 09 28 - updated construction status"/>
  </r>
  <r>
    <m/>
    <s v="Williston CMG PARK(29)"/>
    <s v="VTrans"/>
    <s v="Vtrans TS4"/>
    <m/>
    <m/>
    <n v="2.5"/>
    <n v="0"/>
    <n v="5.01"/>
    <s v="7394-9015.A1"/>
    <s v="S/N 001"/>
    <m/>
    <m/>
    <m/>
    <x v="3"/>
    <n v="2023"/>
    <x v="15"/>
    <m/>
    <m/>
    <m/>
    <x v="1"/>
    <x v="1"/>
    <m/>
    <x v="15"/>
    <n v="0.37"/>
    <x v="0"/>
    <s v="Total Pervious"/>
    <m/>
    <m/>
    <m/>
    <m/>
    <n v="0.14000000000000001"/>
    <s v="Developed Pervious "/>
    <m/>
    <m/>
    <m/>
    <m/>
    <m/>
    <m/>
    <n v="1414"/>
    <s v="0.17 in/hr"/>
    <m/>
    <m/>
    <n v="0.29688944252020238"/>
    <n v="0.95580516760729106"/>
    <n v="6.0000000000000053E-2"/>
    <n v="0.77902583803645531"/>
    <n v="0.86674155028218736"/>
    <n v="0.25732641567237458"/>
    <n v="0"/>
    <s v="No"/>
    <m/>
    <n v="1"/>
    <n v="0.25732641567237458"/>
    <m/>
    <m/>
    <m/>
    <m/>
    <m/>
    <m/>
    <m/>
    <m/>
    <m/>
    <m/>
    <s v=""/>
    <n v="0"/>
    <s v=""/>
    <s v=""/>
    <s v=""/>
    <s v=""/>
    <m/>
    <s v="ANM 2023 09 28 - updated construction status"/>
  </r>
  <r>
    <m/>
    <s v="Williston CMG PARK(29)"/>
    <s v="VTrans"/>
    <s v="Vtrans TS4"/>
    <m/>
    <m/>
    <n v="2.5"/>
    <n v="0"/>
    <n v="5.01"/>
    <s v="7394-9015.A1"/>
    <s v="S/N 001"/>
    <m/>
    <m/>
    <m/>
    <x v="3"/>
    <n v="2023"/>
    <x v="15"/>
    <m/>
    <m/>
    <m/>
    <x v="1"/>
    <x v="1"/>
    <m/>
    <x v="14"/>
    <n v="0.68"/>
    <x v="0"/>
    <s v="Total Pervious"/>
    <m/>
    <m/>
    <m/>
    <m/>
    <n v="0.18"/>
    <s v="Developed Pervious "/>
    <m/>
    <m/>
    <m/>
    <m/>
    <m/>
    <m/>
    <n v="1814"/>
    <m/>
    <m/>
    <m/>
    <n v="0.54563465111820986"/>
    <n v="0.69838244380296077"/>
    <n v="7.0000000000000007E-2"/>
    <n v="0.49191221901480381"/>
    <n v="0.40443385533103626"/>
    <n v="0.22067312555394253"/>
    <n v="0"/>
    <s v="No"/>
    <m/>
    <n v="1"/>
    <n v="0.22067312555394253"/>
    <m/>
    <m/>
    <m/>
    <m/>
    <m/>
    <m/>
    <m/>
    <m/>
    <m/>
    <m/>
    <s v=""/>
    <n v="0"/>
    <s v=""/>
    <s v=""/>
    <s v=""/>
    <s v=""/>
    <m/>
    <s v="ANM 2023 09 28 - updated construction status"/>
  </r>
  <r>
    <m/>
    <s v="Williston CMG PARK(29)"/>
    <s v="VTrans"/>
    <s v="Vtrans TS4"/>
    <m/>
    <m/>
    <n v="2.5"/>
    <n v="0"/>
    <n v="5.01"/>
    <s v="7394-9015.A1"/>
    <s v="S/N 001"/>
    <m/>
    <m/>
    <m/>
    <x v="3"/>
    <n v="2023"/>
    <x v="15"/>
    <m/>
    <m/>
    <m/>
    <x v="1"/>
    <x v="1"/>
    <m/>
    <x v="13"/>
    <n v="2"/>
    <x v="0"/>
    <s v="Total Pervious"/>
    <m/>
    <m/>
    <m/>
    <m/>
    <n v="1.35"/>
    <s v="Developed Pervious "/>
    <m/>
    <m/>
    <m/>
    <m/>
    <m/>
    <m/>
    <n v="38400"/>
    <m/>
    <m/>
    <m/>
    <n v="1.6048077974064994"/>
    <n v="2"/>
    <n v="1.0000000000000009E-2"/>
    <s v=""/>
    <n v="0.13"/>
    <n v="0.20862501366284492"/>
    <n v="0"/>
    <s v="No"/>
    <m/>
    <n v="1"/>
    <n v="0.20862501366284492"/>
    <m/>
    <m/>
    <m/>
    <m/>
    <m/>
    <m/>
    <m/>
    <m/>
    <m/>
    <m/>
    <s v=""/>
    <n v="0"/>
    <s v=""/>
    <s v=""/>
    <s v=""/>
    <s v=""/>
    <m/>
    <s v="ANM 2023 09 28 - updated construction status"/>
  </r>
  <r>
    <s v="{933F69F6-C3E2-4D49-8626-76EC017320D6}"/>
    <s v="Williston STP 5500(7) "/>
    <s v="VTrans"/>
    <s v="Vtrans TS4"/>
    <m/>
    <m/>
    <n v="1.31"/>
    <n v="0"/>
    <n v="4.51"/>
    <s v="3993-9010"/>
    <s v="S/N 001"/>
    <m/>
    <m/>
    <m/>
    <x v="3"/>
    <n v="2023"/>
    <x v="15"/>
    <m/>
    <m/>
    <m/>
    <x v="1"/>
    <x v="1"/>
    <m/>
    <x v="11"/>
    <n v="1.31"/>
    <x v="2"/>
    <s v="Total Pervious"/>
    <m/>
    <m/>
    <m/>
    <m/>
    <n v="9.9999999999999995E-7"/>
    <s v="Developed Pervious "/>
    <m/>
    <m/>
    <m/>
    <m/>
    <m/>
    <m/>
    <n v="1646.4"/>
    <m/>
    <m/>
    <m/>
    <n v="1.3335905858885075"/>
    <n v="0.34622418653777248"/>
    <n v="0.10999999999999999"/>
    <n v="0.73112093268886236"/>
    <n v="0.22042330259577486"/>
    <n v="0.29395444125217918"/>
    <n v="0"/>
    <s v="No"/>
    <m/>
    <n v="1"/>
    <n v="0.29395444125217918"/>
    <m/>
    <m/>
    <m/>
    <m/>
    <m/>
    <m/>
    <m/>
    <m/>
    <m/>
    <m/>
    <s v=""/>
    <n v="0"/>
    <s v=""/>
    <s v=""/>
    <s v=""/>
    <s v=""/>
    <m/>
    <s v="ANM 2023 09 28 - updated construction status"/>
  </r>
  <r>
    <s v="{5674E7F4-9FA7-4F59-970A-1FF1C4F35989}"/>
    <s v="Williston STP 5500(7) "/>
    <s v="VTrans"/>
    <s v="Vtrans TS4"/>
    <m/>
    <m/>
    <n v="1.31"/>
    <n v="0"/>
    <n v="4.51"/>
    <s v="3993-9010"/>
    <s v="S/N 001"/>
    <m/>
    <m/>
    <m/>
    <x v="3"/>
    <n v="2023"/>
    <x v="15"/>
    <m/>
    <m/>
    <m/>
    <x v="1"/>
    <x v="1"/>
    <m/>
    <x v="1"/>
    <n v="1.31"/>
    <x v="1"/>
    <s v="Total Pervious"/>
    <m/>
    <m/>
    <m/>
    <m/>
    <n v="9.9999999999999995E-7"/>
    <s v="Developed Pervious "/>
    <m/>
    <m/>
    <m/>
    <n v="176"/>
    <m/>
    <m/>
    <n v="613"/>
    <m/>
    <m/>
    <m/>
    <n v="0.86038239728701615"/>
    <n v="0.12890879267263203"/>
    <n v="0.02"/>
    <n v="0.28908792672632022"/>
    <n v="5.7817585345264046E-3"/>
    <n v="4.974523268470493E-3"/>
    <n v="0"/>
    <s v="No"/>
    <m/>
    <n v="1"/>
    <n v="4.974523268470493E-3"/>
    <m/>
    <m/>
    <m/>
    <m/>
    <m/>
    <m/>
    <m/>
    <m/>
    <m/>
    <m/>
    <s v=""/>
    <n v="0"/>
    <s v=""/>
    <s v=""/>
    <s v=""/>
    <s v=""/>
    <m/>
    <s v="ANM 2023 09 28 - updated construction status"/>
  </r>
  <r>
    <s v="{2C2CE925-3A4C-4045-9508-CD6DB96D3C1B}"/>
    <s v="Barre Town HES STPG 6100(6)"/>
    <s v="VTrans"/>
    <s v="Vtrans TS4"/>
    <m/>
    <m/>
    <n v="0.19"/>
    <n v="0.49"/>
    <n v="0.75"/>
    <s v="4708-INDS"/>
    <s v="S/N 003"/>
    <m/>
    <m/>
    <m/>
    <x v="2"/>
    <n v="2026"/>
    <x v="15"/>
    <m/>
    <m/>
    <m/>
    <x v="1"/>
    <x v="1"/>
    <s v="Yes"/>
    <x v="6"/>
    <n v="0.46"/>
    <x v="1"/>
    <s v="Total Pervious"/>
    <m/>
    <m/>
    <m/>
    <m/>
    <n v="0.28999999999999998"/>
    <s v="Developed Pervious "/>
    <m/>
    <m/>
    <m/>
    <m/>
    <m/>
    <m/>
    <n v="1950"/>
    <m/>
    <m/>
    <m/>
    <n v="0.30211900973437211"/>
    <n v="0.99339627726112933"/>
    <n v="5.0000000000000044E-2"/>
    <n v="0.96698138630564667"/>
    <n v="0.48834906931528238"/>
    <n v="0.14753953722623536"/>
    <n v="0"/>
    <s v="No"/>
    <m/>
    <n v="1"/>
    <n v="0.14753953722623536"/>
    <m/>
    <m/>
    <m/>
    <m/>
    <m/>
    <m/>
    <m/>
    <m/>
    <m/>
    <m/>
    <s v=""/>
    <n v="0"/>
    <s v=""/>
    <s v=""/>
    <s v=""/>
    <s v=""/>
    <m/>
    <m/>
  </r>
  <r>
    <s v="{EB542027-28BC-4BF7-8447-691F607D135B}"/>
    <s v="Barre Town HES STPG 6100(6) "/>
    <s v="VTrans"/>
    <s v="Vtrans TS4"/>
    <m/>
    <m/>
    <n v="0.13"/>
    <n v="0.21"/>
    <n v="0.59299999999999997"/>
    <s v="4708-INDS"/>
    <s v="S/N 003"/>
    <m/>
    <m/>
    <m/>
    <x v="2"/>
    <n v="2026"/>
    <x v="15"/>
    <m/>
    <m/>
    <m/>
    <x v="1"/>
    <x v="1"/>
    <s v="Yes"/>
    <x v="1"/>
    <n v="0.33"/>
    <x v="1"/>
    <s v="Total Pervious"/>
    <m/>
    <m/>
    <m/>
    <m/>
    <n v="0.26"/>
    <s v="Developed Pervious "/>
    <m/>
    <m/>
    <m/>
    <m/>
    <m/>
    <m/>
    <n v="233.92000000000002"/>
    <m/>
    <m/>
    <m/>
    <n v="0.21673755046161478"/>
    <n v="0.18687992095932063"/>
    <n v="3.0000000000000002E-2"/>
    <n v="0.86879920959320622"/>
    <n v="2.6063976287796189E-2"/>
    <n v="5.6490423759065576E-3"/>
    <n v="0"/>
    <s v="No"/>
    <m/>
    <n v="1"/>
    <n v="5.6490423759065576E-3"/>
    <m/>
    <m/>
    <m/>
    <m/>
    <m/>
    <m/>
    <m/>
    <m/>
    <m/>
    <m/>
    <s v=""/>
    <n v="0"/>
    <s v=""/>
    <s v=""/>
    <s v=""/>
    <s v=""/>
    <m/>
    <m/>
  </r>
  <r>
    <s v="{AD0694CD-7B60-4895-AAA4-474C1198B7AA}"/>
    <s v="Milton STP 5800(3)"/>
    <s v="VTrans"/>
    <s v="Vtrans TS4"/>
    <m/>
    <m/>
    <n v="0.34"/>
    <n v="0"/>
    <n v="0.41"/>
    <s v="NA"/>
    <s v="S/N 001"/>
    <m/>
    <m/>
    <m/>
    <x v="2"/>
    <n v="2026"/>
    <x v="15"/>
    <m/>
    <m/>
    <m/>
    <x v="5"/>
    <x v="0"/>
    <m/>
    <x v="5"/>
    <n v="0.34"/>
    <x v="1"/>
    <s v="Total Pervious"/>
    <m/>
    <m/>
    <m/>
    <m/>
    <n v="7.0000000000000007E-2"/>
    <s v="Developed Pervious "/>
    <m/>
    <m/>
    <m/>
    <m/>
    <m/>
    <m/>
    <n v="4600"/>
    <s v="2.41 in/hr"/>
    <m/>
    <m/>
    <n v="0.22679616515697826"/>
    <n v="2"/>
    <n v="0"/>
    <s v=""/>
    <n v="1"/>
    <n v="0.22679616515697826"/>
    <n v="0"/>
    <s v="No"/>
    <m/>
    <n v="1"/>
    <n v="0.22679616515697826"/>
    <m/>
    <m/>
    <m/>
    <m/>
    <m/>
    <m/>
    <m/>
    <m/>
    <m/>
    <m/>
    <s v=""/>
    <n v="0"/>
    <s v=""/>
    <s v=""/>
    <s v=""/>
    <s v=""/>
    <m/>
    <m/>
  </r>
  <r>
    <m/>
    <s v="Swanton NH 036-1(9)   "/>
    <s v="VTrans"/>
    <s v="Vtrans TS4"/>
    <m/>
    <m/>
    <n v="0.63"/>
    <n v="1.43"/>
    <n v="3.47"/>
    <s v="7846-INDS"/>
    <s v="S/N 001"/>
    <m/>
    <m/>
    <m/>
    <x v="2"/>
    <n v="2026"/>
    <x v="15"/>
    <m/>
    <m/>
    <m/>
    <x v="9"/>
    <x v="4"/>
    <s v="Yes"/>
    <x v="3"/>
    <n v="2.06"/>
    <x v="1"/>
    <s v="Total Pervious"/>
    <m/>
    <m/>
    <m/>
    <m/>
    <n v="1.0000000000000001E-5"/>
    <s v="Developed Pervious "/>
    <m/>
    <m/>
    <m/>
    <m/>
    <m/>
    <n v="0.36"/>
    <n v="0"/>
    <m/>
    <m/>
    <m/>
    <n v="1.3821125954907134"/>
    <n v="0"/>
    <s v=""/>
    <s v=""/>
    <s v=""/>
    <s v=""/>
    <n v="0.49756053437665682"/>
    <s v="No"/>
    <m/>
    <n v="1"/>
    <n v="0.49756053437665682"/>
    <m/>
    <m/>
    <m/>
    <m/>
    <m/>
    <m/>
    <m/>
    <m/>
    <m/>
    <m/>
    <s v=""/>
    <n v="0"/>
    <s v=""/>
    <s v=""/>
    <s v=""/>
    <s v=""/>
    <m/>
    <s v="ANM 2023 09 28 - updated construction status"/>
  </r>
  <r>
    <m/>
    <s v="Swanton NH 036-1(9)   "/>
    <s v="VTrans"/>
    <s v="Vtrans TS4"/>
    <m/>
    <m/>
    <n v="2.33"/>
    <n v="5.6"/>
    <n v="14"/>
    <s v="7846-INDS"/>
    <s v="S/N 002"/>
    <m/>
    <m/>
    <m/>
    <x v="2"/>
    <n v="2026"/>
    <x v="15"/>
    <m/>
    <m/>
    <m/>
    <x v="9"/>
    <x v="4"/>
    <s v="Yes"/>
    <x v="3"/>
    <n v="7.93"/>
    <x v="1"/>
    <s v="Total Pervious"/>
    <m/>
    <m/>
    <m/>
    <m/>
    <n v="1.0000000000000001E-5"/>
    <s v="Developed Pervious "/>
    <m/>
    <m/>
    <m/>
    <m/>
    <m/>
    <n v="0.36"/>
    <n v="0"/>
    <m/>
    <m/>
    <m/>
    <n v="5.3204625641948331"/>
    <n v="0"/>
    <s v=""/>
    <s v=""/>
    <s v=""/>
    <s v=""/>
    <n v="1.9153665231101398"/>
    <s v="No"/>
    <m/>
    <n v="1"/>
    <n v="1.9153665231101398"/>
    <m/>
    <m/>
    <m/>
    <m/>
    <m/>
    <m/>
    <m/>
    <m/>
    <m/>
    <m/>
    <s v=""/>
    <n v="0"/>
    <s v=""/>
    <s v=""/>
    <s v=""/>
    <s v=""/>
    <m/>
    <s v="ANM 2023 09 28 - updated construction status"/>
  </r>
  <r>
    <m/>
    <s v="Swanton NH 036-1(9)   "/>
    <s v="VTrans"/>
    <s v="Vtrans TS4"/>
    <m/>
    <m/>
    <n v="0.31"/>
    <n v="0.34"/>
    <n v="1.02"/>
    <s v="7846-INDS"/>
    <s v="S/N 003"/>
    <m/>
    <m/>
    <m/>
    <x v="2"/>
    <n v="2026"/>
    <x v="15"/>
    <m/>
    <m/>
    <m/>
    <x v="9"/>
    <x v="4"/>
    <s v="Yes"/>
    <x v="3"/>
    <n v="0.65"/>
    <x v="1"/>
    <s v="Total Pervious"/>
    <m/>
    <m/>
    <m/>
    <m/>
    <n v="1.0000000000000001E-5"/>
    <s v="Developed Pervious "/>
    <m/>
    <m/>
    <m/>
    <m/>
    <m/>
    <n v="0.36"/>
    <n v="0"/>
    <m/>
    <m/>
    <m/>
    <n v="0.43610348886842898"/>
    <n v="0"/>
    <s v=""/>
    <s v=""/>
    <s v=""/>
    <s v=""/>
    <n v="0.15699725599263442"/>
    <s v="No"/>
    <m/>
    <n v="1"/>
    <n v="0.15699725599263442"/>
    <m/>
    <m/>
    <m/>
    <m/>
    <m/>
    <m/>
    <m/>
    <m/>
    <m/>
    <m/>
    <s v=""/>
    <n v="0"/>
    <s v=""/>
    <s v=""/>
    <s v=""/>
    <s v=""/>
    <m/>
    <s v="ANM 2023 09 28 - updated construction status"/>
  </r>
  <r>
    <m/>
    <s v="Swanton NH 036-1(9)   "/>
    <s v="VTrans"/>
    <s v="Vtrans TS4"/>
    <m/>
    <m/>
    <n v="2.48"/>
    <n v="0"/>
    <n v="19.28"/>
    <s v="7846-INDS"/>
    <s v="S/N 004"/>
    <m/>
    <m/>
    <m/>
    <x v="2"/>
    <n v="2026"/>
    <x v="15"/>
    <m/>
    <m/>
    <m/>
    <x v="4"/>
    <x v="4"/>
    <s v="Yes"/>
    <x v="3"/>
    <n v="2.48"/>
    <x v="1"/>
    <s v="Total Pervious"/>
    <m/>
    <m/>
    <m/>
    <m/>
    <n v="1.0000000000000001E-5"/>
    <s v="Developed Pervious "/>
    <m/>
    <m/>
    <m/>
    <m/>
    <m/>
    <n v="0.49"/>
    <n v="0"/>
    <m/>
    <m/>
    <m/>
    <n v="1.6438220096189486"/>
    <n v="0"/>
    <s v=""/>
    <s v=""/>
    <s v=""/>
    <s v=""/>
    <n v="0.80547278471328487"/>
    <s v="No"/>
    <m/>
    <n v="1"/>
    <n v="0.80547278471328487"/>
    <m/>
    <m/>
    <m/>
    <m/>
    <m/>
    <m/>
    <m/>
    <m/>
    <m/>
    <m/>
    <s v=""/>
    <n v="0"/>
    <s v=""/>
    <s v=""/>
    <s v=""/>
    <s v=""/>
    <m/>
    <s v="ANM 2023 09 28 - updated construction status"/>
  </r>
  <r>
    <m/>
    <s v="Swanton NH 036-1(9)   "/>
    <s v="VTrans"/>
    <s v="Vtrans TS4"/>
    <m/>
    <m/>
    <n v="2.48"/>
    <n v="0"/>
    <n v="0.69"/>
    <s v="7846-INDS"/>
    <s v="S/N 004"/>
    <m/>
    <m/>
    <m/>
    <x v="2"/>
    <n v="2026"/>
    <x v="15"/>
    <m/>
    <m/>
    <m/>
    <x v="4"/>
    <x v="4"/>
    <s v="Yes"/>
    <x v="6"/>
    <n v="0.49"/>
    <x v="1"/>
    <s v="Total Pervious"/>
    <m/>
    <m/>
    <m/>
    <m/>
    <n v="0.2"/>
    <s v="Developed Pervious "/>
    <m/>
    <m/>
    <m/>
    <m/>
    <m/>
    <m/>
    <n v="4826.5"/>
    <m/>
    <m/>
    <m/>
    <n v="0.32478741319084065"/>
    <n v="2"/>
    <s v=""/>
    <s v=""/>
    <n v="0.57999999999999996"/>
    <n v="0.18837669965068757"/>
    <n v="0"/>
    <s v="No"/>
    <m/>
    <n v="1"/>
    <n v="0.18837669965068757"/>
    <m/>
    <m/>
    <m/>
    <m/>
    <m/>
    <m/>
    <m/>
    <m/>
    <m/>
    <m/>
    <s v=""/>
    <n v="0"/>
    <s v=""/>
    <s v=""/>
    <s v=""/>
    <s v=""/>
    <m/>
    <s v="ANM 2023 09 28 - updated construction status"/>
  </r>
  <r>
    <m/>
    <s v="Swanton NH 036-1(9)   "/>
    <s v="VTrans"/>
    <s v="Vtrans TS4"/>
    <m/>
    <m/>
    <n v="0.45"/>
    <n v="0"/>
    <n v="3.23"/>
    <s v="7846-INDS"/>
    <s v="S/N 005"/>
    <m/>
    <m/>
    <m/>
    <x v="2"/>
    <n v="2026"/>
    <x v="15"/>
    <m/>
    <m/>
    <m/>
    <x v="8"/>
    <x v="6"/>
    <s v="Yes"/>
    <x v="3"/>
    <n v="0.45"/>
    <x v="1"/>
    <s v="Total Pervious"/>
    <m/>
    <m/>
    <m/>
    <m/>
    <n v="1.0000000000000001E-5"/>
    <s v="Developed Pervious "/>
    <m/>
    <m/>
    <m/>
    <m/>
    <m/>
    <n v="0.49"/>
    <m/>
    <m/>
    <m/>
    <m/>
    <n v="0.29162242139484085"/>
    <n v="0"/>
    <s v=""/>
    <s v=""/>
    <s v=""/>
    <s v=""/>
    <n v="0.14289498648347201"/>
    <s v="No"/>
    <m/>
    <n v="1"/>
    <n v="0.14289498648347201"/>
    <m/>
    <m/>
    <m/>
    <m/>
    <m/>
    <m/>
    <m/>
    <m/>
    <m/>
    <m/>
    <s v=""/>
    <n v="0"/>
    <s v=""/>
    <s v=""/>
    <s v=""/>
    <s v=""/>
    <m/>
    <s v="ANM 2023 09 28 - updated construction status"/>
  </r>
  <r>
    <m/>
    <s v="Swanton NH 036-1(9)   "/>
    <s v="VTrans"/>
    <s v="Vtrans TS4"/>
    <m/>
    <m/>
    <n v="0.08"/>
    <n v="0"/>
    <n v="0.44"/>
    <s v="7846-INDS"/>
    <s v="S/N 006"/>
    <m/>
    <m/>
    <m/>
    <x v="2"/>
    <n v="2026"/>
    <x v="15"/>
    <m/>
    <m/>
    <m/>
    <x v="8"/>
    <x v="6"/>
    <s v="Yes"/>
    <x v="3"/>
    <n v="0.08"/>
    <x v="1"/>
    <s v="Total Pervious"/>
    <m/>
    <m/>
    <m/>
    <m/>
    <n v="1.0000000000000001E-5"/>
    <s v="Developed Pervious "/>
    <m/>
    <m/>
    <m/>
    <m/>
    <m/>
    <n v="0.49"/>
    <m/>
    <m/>
    <m/>
    <m/>
    <n v="5.1843986025749481E-2"/>
    <n v="0"/>
    <s v=""/>
    <s v=""/>
    <s v=""/>
    <s v=""/>
    <n v="2.5403553152617244E-2"/>
    <s v="No"/>
    <m/>
    <n v="1"/>
    <n v="2.5403553152617244E-2"/>
    <m/>
    <m/>
    <m/>
    <m/>
    <m/>
    <m/>
    <m/>
    <m/>
    <m/>
    <m/>
    <s v=""/>
    <n v="0"/>
    <s v=""/>
    <s v=""/>
    <s v=""/>
    <s v=""/>
    <m/>
    <s v="ANM 2023 09 28 - updated construction status"/>
  </r>
  <r>
    <m/>
    <s v="Williston STP 5500(17)"/>
    <s v="VTrans"/>
    <s v="Vtrans TS4"/>
    <m/>
    <m/>
    <n v="0.8"/>
    <n v="0.83"/>
    <n v="3.1"/>
    <s v="No Permit yet"/>
    <s v="S/N 001 &amp; 003"/>
    <m/>
    <m/>
    <m/>
    <x v="2"/>
    <n v="2026"/>
    <x v="15"/>
    <m/>
    <m/>
    <m/>
    <x v="1"/>
    <x v="1"/>
    <s v="Yes"/>
    <x v="15"/>
    <n v="1.63"/>
    <x v="1"/>
    <s v="Total Pervious"/>
    <m/>
    <m/>
    <m/>
    <m/>
    <n v="1.47"/>
    <s v="Developed Pervious "/>
    <m/>
    <m/>
    <m/>
    <m/>
    <m/>
    <m/>
    <n v="27138.92"/>
    <s v="2.41 in/hr"/>
    <m/>
    <m/>
    <n v="1.070552143189188"/>
    <n v="2"/>
    <s v=""/>
    <s v=""/>
    <n v="1"/>
    <n v="1.070552143189188"/>
    <n v="0"/>
    <s v="No"/>
    <m/>
    <n v="1"/>
    <n v="1.070552143189188"/>
    <m/>
    <m/>
    <m/>
    <m/>
    <m/>
    <m/>
    <m/>
    <m/>
    <m/>
    <m/>
    <s v=""/>
    <n v="0"/>
    <s v=""/>
    <s v=""/>
    <s v=""/>
    <s v=""/>
    <m/>
    <m/>
  </r>
  <r>
    <m/>
    <s v="Williston STP 5500(17)"/>
    <s v="VTrans"/>
    <s v="Vtrans TS4"/>
    <m/>
    <m/>
    <n v="0.39"/>
    <n v="0"/>
    <n v="0.39"/>
    <s v="No Permit yet"/>
    <s v="S/N 002 &amp; 004"/>
    <m/>
    <m/>
    <m/>
    <x v="2"/>
    <n v="2026"/>
    <x v="15"/>
    <m/>
    <m/>
    <m/>
    <x v="1"/>
    <x v="1"/>
    <s v="Yes"/>
    <x v="15"/>
    <n v="0.39"/>
    <x v="1"/>
    <s v="Total Pervious"/>
    <m/>
    <m/>
    <m/>
    <m/>
    <n v="1.0000000000000001E-5"/>
    <s v="Developed Pervious "/>
    <m/>
    <m/>
    <m/>
    <m/>
    <m/>
    <m/>
    <n v="5090.8999999999996"/>
    <s v="2.41 in/hr"/>
    <m/>
    <m/>
    <n v="0.25614437781827198"/>
    <n v="2"/>
    <s v=""/>
    <s v=""/>
    <n v="1"/>
    <n v="0.25614437781827198"/>
    <n v="0"/>
    <s v="No"/>
    <m/>
    <n v="1"/>
    <n v="0.25614437781827198"/>
    <m/>
    <m/>
    <m/>
    <m/>
    <m/>
    <m/>
    <m/>
    <m/>
    <m/>
    <m/>
    <s v=""/>
    <n v="0"/>
    <s v=""/>
    <s v=""/>
    <s v=""/>
    <s v=""/>
    <m/>
    <m/>
  </r>
  <r>
    <m/>
    <s v="Pittsford-Brandon Seg 4"/>
    <s v="VTrans"/>
    <s v="Vtrans TS4"/>
    <m/>
    <m/>
    <n v="0.84"/>
    <n v="1.86"/>
    <n v="6.36"/>
    <s v="6760-9010.A"/>
    <s v="S/N 001"/>
    <m/>
    <m/>
    <m/>
    <x v="2"/>
    <n v="2027"/>
    <x v="15"/>
    <m/>
    <m/>
    <m/>
    <x v="6"/>
    <x v="3"/>
    <m/>
    <x v="1"/>
    <n v="0.25"/>
    <x v="1"/>
    <s v="Total Pervious"/>
    <m/>
    <m/>
    <m/>
    <m/>
    <n v="6.55"/>
    <s v="Developed Pervious "/>
    <m/>
    <m/>
    <m/>
    <m/>
    <m/>
    <m/>
    <n v="1019.8655999999999"/>
    <m/>
    <m/>
    <m/>
    <n v="0.2007525486537878"/>
    <n v="0.32334226377853748"/>
    <n v="3.0000000000000002E-2"/>
    <n v="0.61671131889268727"/>
    <n v="3.8501339566780618E-2"/>
    <n v="7.7292420446161319E-3"/>
    <n v="0"/>
    <s v="No"/>
    <m/>
    <n v="1"/>
    <n v="7.7292420446161319E-3"/>
    <m/>
    <m/>
    <m/>
    <m/>
    <m/>
    <m/>
    <m/>
    <m/>
    <m/>
    <m/>
    <s v=""/>
    <n v="0"/>
    <s v=""/>
    <s v=""/>
    <s v=""/>
    <s v=""/>
    <m/>
    <s v="ANM 2023 09 28 - updated construction status"/>
  </r>
  <r>
    <m/>
    <s v="Pittsford-Brandon Seg 4"/>
    <s v="VTrans"/>
    <s v="Vtrans TS4"/>
    <m/>
    <m/>
    <n v="0.84"/>
    <n v="1.86"/>
    <n v="6.36"/>
    <s v="6760-9010.A"/>
    <s v="S/N 001"/>
    <m/>
    <m/>
    <m/>
    <x v="2"/>
    <n v="2027"/>
    <x v="15"/>
    <m/>
    <m/>
    <m/>
    <x v="6"/>
    <x v="3"/>
    <m/>
    <x v="1"/>
    <n v="1.73"/>
    <x v="1"/>
    <s v="Total Pervious"/>
    <m/>
    <m/>
    <m/>
    <m/>
    <n v="84.31"/>
    <s v="Developed Pervious "/>
    <m/>
    <m/>
    <m/>
    <m/>
    <m/>
    <m/>
    <n v="11285.787499999999"/>
    <m/>
    <m/>
    <m/>
    <n v="1.3892076366842117"/>
    <n v="0.32181227719719913"/>
    <n v="3.0000000000000002E-2"/>
    <n v="0.60906138598599557"/>
    <n v="3.8271841579579871E-2"/>
    <n v="5.3167534592320702E-2"/>
    <n v="0"/>
    <s v="No"/>
    <m/>
    <n v="1"/>
    <n v="5.3167534592320702E-2"/>
    <m/>
    <m/>
    <m/>
    <m/>
    <m/>
    <m/>
    <m/>
    <m/>
    <m/>
    <m/>
    <s v=""/>
    <n v="0"/>
    <s v=""/>
    <s v=""/>
    <s v=""/>
    <s v=""/>
    <m/>
    <s v="ANM 2023 09 28 - updated construction status"/>
  </r>
  <r>
    <m/>
    <s v="Pittsford-Brandon Seg 4"/>
    <s v="VTrans"/>
    <s v="Vtrans TS4"/>
    <m/>
    <m/>
    <n v="0.96"/>
    <n v="1.32"/>
    <n v="6.37"/>
    <s v="6760-9010.A"/>
    <s v="S/N 002"/>
    <m/>
    <m/>
    <m/>
    <x v="2"/>
    <n v="2027"/>
    <x v="15"/>
    <m/>
    <m/>
    <m/>
    <x v="6"/>
    <x v="3"/>
    <m/>
    <x v="1"/>
    <n v="0.22"/>
    <x v="1"/>
    <s v="Total Pervious"/>
    <m/>
    <m/>
    <m/>
    <m/>
    <n v="0.39"/>
    <s v="Developed Pervious "/>
    <m/>
    <m/>
    <m/>
    <m/>
    <m/>
    <m/>
    <n v="804.72831999999994"/>
    <m/>
    <m/>
    <m/>
    <n v="0.17666224281533327"/>
    <n v="0.7363151441910587"/>
    <n v="4.0000000000000008E-2"/>
    <n v="0.6815757209552934"/>
    <n v="0.11726302883821174"/>
    <n v="2.071594967387759E-2"/>
    <n v="0"/>
    <s v="No"/>
    <m/>
    <n v="1"/>
    <n v="2.071594967387759E-2"/>
    <m/>
    <m/>
    <m/>
    <m/>
    <m/>
    <m/>
    <m/>
    <m/>
    <m/>
    <m/>
    <s v=""/>
    <n v="0"/>
    <s v=""/>
    <s v=""/>
    <s v=""/>
    <s v=""/>
    <m/>
    <s v="ANM 2023 09 28 - updated construction status"/>
  </r>
  <r>
    <m/>
    <s v="Pittsford-Brandon Seg 4"/>
    <s v="VTrans"/>
    <s v="Vtrans TS4"/>
    <m/>
    <m/>
    <n v="0.96"/>
    <n v="1.32"/>
    <n v="6.37"/>
    <s v="6760-9010.A"/>
    <s v="S/N 002"/>
    <m/>
    <m/>
    <m/>
    <x v="2"/>
    <n v="2027"/>
    <x v="15"/>
    <m/>
    <m/>
    <m/>
    <x v="6"/>
    <x v="3"/>
    <m/>
    <x v="1"/>
    <n v="0.35"/>
    <x v="1"/>
    <s v="Total Pervious"/>
    <m/>
    <m/>
    <m/>
    <m/>
    <n v="1.96"/>
    <s v="Developed Pervious "/>
    <m/>
    <m/>
    <m/>
    <m/>
    <m/>
    <m/>
    <n v="871.27189999999996"/>
    <m/>
    <m/>
    <m/>
    <n v="0.28105356811530291"/>
    <n v="0.41182351557800767"/>
    <n v="3.9999999999999994E-2"/>
    <n v="5.9117577890038256E-2"/>
    <n v="5.2364703115601534E-2"/>
    <n v="1.471728665393833E-2"/>
    <n v="0"/>
    <s v="No"/>
    <m/>
    <n v="1"/>
    <n v="1.471728665393833E-2"/>
    <m/>
    <m/>
    <m/>
    <m/>
    <m/>
    <m/>
    <m/>
    <m/>
    <m/>
    <m/>
    <s v=""/>
    <n v="0"/>
    <s v=""/>
    <s v=""/>
    <s v=""/>
    <s v=""/>
    <m/>
    <s v="ANM 2023 09 28 - updated construction status"/>
  </r>
  <r>
    <m/>
    <s v="Pittsford-Brandon Seg 4"/>
    <s v="VTrans"/>
    <s v="Vtrans TS4"/>
    <m/>
    <m/>
    <n v="0.96"/>
    <n v="1.32"/>
    <n v="6.37"/>
    <s v="6760-9010.A"/>
    <s v="S/N 002"/>
    <m/>
    <m/>
    <m/>
    <x v="2"/>
    <n v="2027"/>
    <x v="15"/>
    <m/>
    <m/>
    <m/>
    <x v="6"/>
    <x v="3"/>
    <m/>
    <x v="1"/>
    <n v="1.01"/>
    <x v="1"/>
    <s v="Total Pervious"/>
    <m/>
    <m/>
    <m/>
    <m/>
    <n v="11.84"/>
    <s v="Developed Pervious "/>
    <m/>
    <m/>
    <m/>
    <m/>
    <m/>
    <m/>
    <n v="1902.7008000000003"/>
    <m/>
    <m/>
    <m/>
    <n v="0.81104029656130272"/>
    <n v="0.26866414413255718"/>
    <n v="3.0000000000000002E-2"/>
    <n v="0.34332072066278585"/>
    <n v="3.0299621619883577E-2"/>
    <n v="2.4574214104285636E-2"/>
    <n v="0"/>
    <s v="No"/>
    <m/>
    <n v="1"/>
    <n v="2.4574214104285636E-2"/>
    <m/>
    <m/>
    <m/>
    <m/>
    <m/>
    <m/>
    <m/>
    <m/>
    <m/>
    <m/>
    <s v=""/>
    <n v="0"/>
    <s v=""/>
    <s v=""/>
    <s v=""/>
    <s v=""/>
    <m/>
    <s v="ANM 2023 09 28 - updated construction status"/>
  </r>
  <r>
    <m/>
    <s v="Pittsford-Brandon Seg 4"/>
    <s v="VTrans"/>
    <s v="Vtrans TS4"/>
    <m/>
    <m/>
    <n v="0.96"/>
    <n v="1.32"/>
    <n v="6.37"/>
    <s v="6760-9010.A"/>
    <s v="S/N 002"/>
    <m/>
    <m/>
    <m/>
    <x v="2"/>
    <n v="2027"/>
    <x v="15"/>
    <m/>
    <m/>
    <m/>
    <x v="6"/>
    <x v="3"/>
    <m/>
    <x v="1"/>
    <n v="1.01"/>
    <x v="1"/>
    <s v="Total Pervious"/>
    <m/>
    <m/>
    <m/>
    <m/>
    <n v="3.11"/>
    <s v="Developed Pervious "/>
    <m/>
    <m/>
    <m/>
    <m/>
    <m/>
    <m/>
    <n v="2146.7785799999997"/>
    <m/>
    <m/>
    <m/>
    <n v="0.81104029656130272"/>
    <n v="0.42520540971395071"/>
    <n v="3.9999999999999994E-2"/>
    <n v="0.12602704856975347"/>
    <n v="5.5041081942790143E-2"/>
    <n v="4.4640535421935482E-2"/>
    <n v="0"/>
    <s v="No"/>
    <m/>
    <n v="1"/>
    <n v="4.4640535421935482E-2"/>
    <m/>
    <m/>
    <m/>
    <m/>
    <m/>
    <m/>
    <m/>
    <m/>
    <m/>
    <m/>
    <s v=""/>
    <n v="0"/>
    <s v=""/>
    <s v=""/>
    <s v=""/>
    <s v=""/>
    <m/>
    <s v="ANM 2023 09 28 - updated construction status"/>
  </r>
  <r>
    <m/>
    <s v="Pittsford-Brandon Seg 4"/>
    <s v="VTrans"/>
    <s v="Vtrans TS4"/>
    <m/>
    <m/>
    <n v="0.96"/>
    <n v="1.32"/>
    <n v="6.37"/>
    <s v="6760-9010.A"/>
    <s v="S/N 002"/>
    <m/>
    <m/>
    <m/>
    <x v="2"/>
    <n v="2027"/>
    <x v="15"/>
    <m/>
    <m/>
    <m/>
    <x v="6"/>
    <x v="3"/>
    <m/>
    <x v="3"/>
    <n v="0.04"/>
    <x v="1"/>
    <s v="Total Pervious"/>
    <m/>
    <m/>
    <m/>
    <m/>
    <n v="0"/>
    <s v="Developed Pervious "/>
    <m/>
    <m/>
    <m/>
    <m/>
    <m/>
    <n v="0.55000000000000004"/>
    <m/>
    <m/>
    <m/>
    <m/>
    <n v="3.212040778460605E-2"/>
    <s v=""/>
    <s v=""/>
    <s v=""/>
    <s v=""/>
    <s v=""/>
    <n v="1.7666224281533329E-2"/>
    <s v="No"/>
    <m/>
    <n v="1"/>
    <n v="1.7666224281533329E-2"/>
    <m/>
    <m/>
    <m/>
    <m/>
    <m/>
    <m/>
    <m/>
    <m/>
    <m/>
    <m/>
    <s v=""/>
    <n v="0"/>
    <s v=""/>
    <s v=""/>
    <s v=""/>
    <s v=""/>
    <m/>
    <s v="ANM 2023 09 28 - updated construction status"/>
  </r>
  <r>
    <m/>
    <s v="Pittsford-Brandon Seg 4"/>
    <s v="VTrans"/>
    <s v="Vtrans TS4"/>
    <m/>
    <m/>
    <n v="0.96"/>
    <n v="1.32"/>
    <n v="6.37"/>
    <s v="6760-9010.A"/>
    <s v="S/N 002"/>
    <m/>
    <m/>
    <m/>
    <x v="2"/>
    <n v="2027"/>
    <x v="15"/>
    <m/>
    <m/>
    <m/>
    <x v="6"/>
    <x v="3"/>
    <m/>
    <x v="3"/>
    <n v="0.08"/>
    <x v="1"/>
    <s v="Total Pervious"/>
    <m/>
    <m/>
    <m/>
    <m/>
    <n v="0"/>
    <s v="Developed Pervious "/>
    <m/>
    <m/>
    <m/>
    <m/>
    <m/>
    <n v="0.55000000000000004"/>
    <m/>
    <m/>
    <m/>
    <m/>
    <n v="6.4240815569212101E-2"/>
    <s v=""/>
    <s v=""/>
    <s v=""/>
    <s v=""/>
    <s v=""/>
    <n v="3.5332448563066658E-2"/>
    <s v="No"/>
    <m/>
    <n v="1"/>
    <n v="3.5332448563066658E-2"/>
    <m/>
    <m/>
    <m/>
    <m/>
    <m/>
    <m/>
    <m/>
    <m/>
    <m/>
    <m/>
    <s v=""/>
    <n v="0"/>
    <s v=""/>
    <s v=""/>
    <s v=""/>
    <s v=""/>
    <m/>
    <s v="ANM 2023 09 28 - updated construction status"/>
  </r>
  <r>
    <m/>
    <s v="Pittsford-Brandon Seg 4"/>
    <s v="VTrans"/>
    <s v="Vtrans TS4"/>
    <m/>
    <m/>
    <n v="1.73"/>
    <n v="3.38"/>
    <n v="12.52"/>
    <s v="6760-9010.A"/>
    <s v="S/N 003"/>
    <m/>
    <m/>
    <m/>
    <x v="2"/>
    <n v="2027"/>
    <x v="15"/>
    <m/>
    <m/>
    <m/>
    <x v="3"/>
    <x v="3"/>
    <m/>
    <x v="1"/>
    <n v="0.11"/>
    <x v="1"/>
    <s v="Total Pervious"/>
    <m/>
    <m/>
    <m/>
    <m/>
    <n v="1.1599999999999999"/>
    <s v="Developed Pervious "/>
    <m/>
    <m/>
    <m/>
    <m/>
    <m/>
    <m/>
    <n v="552.79480000000001"/>
    <m/>
    <m/>
    <m/>
    <n v="7.5475988672241645E-2"/>
    <n v="0.53220665491537633"/>
    <n v="3.9999999999999994E-2"/>
    <n v="0.66103327457688166"/>
    <n v="7.6441330983075262E-2"/>
    <n v="5.7694850313696625E-3"/>
    <n v="0"/>
    <s v="No"/>
    <m/>
    <n v="1"/>
    <n v="5.7694850313696625E-3"/>
    <m/>
    <m/>
    <m/>
    <m/>
    <m/>
    <m/>
    <m/>
    <m/>
    <m/>
    <m/>
    <s v=""/>
    <n v="0"/>
    <s v=""/>
    <s v=""/>
    <s v=""/>
    <s v=""/>
    <m/>
    <s v="ANM 2023 09 28 - updated construction status"/>
  </r>
  <r>
    <m/>
    <s v="Pittsford-Brandon Seg 4"/>
    <s v="VTrans"/>
    <s v="Vtrans TS4"/>
    <m/>
    <m/>
    <n v="1.73"/>
    <n v="3.38"/>
    <n v="12.52"/>
    <s v="6760-9010.A"/>
    <s v="S/N 003"/>
    <m/>
    <m/>
    <m/>
    <x v="2"/>
    <n v="2027"/>
    <x v="15"/>
    <m/>
    <m/>
    <m/>
    <x v="3"/>
    <x v="3"/>
    <m/>
    <x v="1"/>
    <n v="0.22"/>
    <x v="1"/>
    <s v="Total Pervious"/>
    <m/>
    <m/>
    <m/>
    <m/>
    <n v="0.39"/>
    <s v="Developed Pervious "/>
    <m/>
    <m/>
    <m/>
    <m/>
    <m/>
    <m/>
    <n v="3116"/>
    <m/>
    <m/>
    <m/>
    <n v="0.15095197734448329"/>
    <n v="1.9777546658804426"/>
    <n v="7.9999999999999988E-2"/>
    <n v="0.95550933176088515"/>
    <n v="0.28644074654087082"/>
    <n v="4.3238797082374415E-2"/>
    <n v="0"/>
    <s v="No"/>
    <m/>
    <n v="1"/>
    <n v="4.3238797082374415E-2"/>
    <m/>
    <m/>
    <m/>
    <m/>
    <m/>
    <m/>
    <m/>
    <m/>
    <m/>
    <m/>
    <s v=""/>
    <n v="0"/>
    <s v=""/>
    <s v=""/>
    <s v=""/>
    <s v=""/>
    <m/>
    <s v="ANM 2023 09 28 - updated construction status"/>
  </r>
  <r>
    <m/>
    <s v="Pittsford-Brandon Seg 4"/>
    <s v="VTrans"/>
    <s v="Vtrans TS4"/>
    <m/>
    <m/>
    <n v="1.73"/>
    <n v="3.38"/>
    <n v="12.52"/>
    <s v="6760-9010.A"/>
    <s v="S/N 003"/>
    <m/>
    <m/>
    <m/>
    <x v="2"/>
    <n v="2027"/>
    <x v="15"/>
    <m/>
    <m/>
    <m/>
    <x v="3"/>
    <x v="3"/>
    <m/>
    <x v="1"/>
    <n v="0.11"/>
    <x v="1"/>
    <s v="Total Pervious"/>
    <m/>
    <m/>
    <m/>
    <m/>
    <n v="0.84"/>
    <s v="Developed Pervious "/>
    <m/>
    <m/>
    <m/>
    <m/>
    <m/>
    <m/>
    <n v="306.51599999999996"/>
    <m/>
    <m/>
    <m/>
    <n v="7.5475988672241645E-2"/>
    <n v="0.40538402811813296"/>
    <n v="3.9999999999999994E-2"/>
    <n v="2.6920140590664672E-2"/>
    <n v="5.1076805623626591E-2"/>
    <n v="3.8550724026631287E-3"/>
    <n v="0"/>
    <s v="No"/>
    <m/>
    <n v="1"/>
    <n v="3.8550724026631287E-3"/>
    <m/>
    <m/>
    <m/>
    <m/>
    <m/>
    <m/>
    <m/>
    <m/>
    <m/>
    <m/>
    <s v=""/>
    <n v="0"/>
    <s v=""/>
    <s v=""/>
    <s v=""/>
    <s v=""/>
    <m/>
    <s v="ANM 2023 09 28 - updated construction status"/>
  </r>
  <r>
    <m/>
    <s v="Pittsford-Brandon Seg 4"/>
    <s v="VTrans"/>
    <s v="Vtrans TS4"/>
    <m/>
    <m/>
    <n v="1.73"/>
    <n v="3.38"/>
    <n v="12.52"/>
    <s v="6760-9010.A"/>
    <s v="S/N 003"/>
    <m/>
    <m/>
    <m/>
    <x v="2"/>
    <n v="2027"/>
    <x v="15"/>
    <m/>
    <m/>
    <m/>
    <x v="3"/>
    <x v="3"/>
    <m/>
    <x v="1"/>
    <n v="0.88"/>
    <x v="1"/>
    <s v="Total Pervious"/>
    <m/>
    <m/>
    <m/>
    <m/>
    <n v="14.9"/>
    <s v="Developed Pervious "/>
    <m/>
    <m/>
    <m/>
    <m/>
    <m/>
    <m/>
    <n v="3584.3200400000001"/>
    <m/>
    <m/>
    <m/>
    <n v="0.60380790937793316"/>
    <n v="0.38729088623927777"/>
    <n v="3.0000000000000002E-2"/>
    <n v="0.93645443119638871"/>
    <n v="4.8093632935891667E-2"/>
    <n v="2.9039315957410456E-2"/>
    <n v="0"/>
    <s v="No"/>
    <m/>
    <n v="1"/>
    <n v="2.9039315957410456E-2"/>
    <m/>
    <m/>
    <m/>
    <m/>
    <m/>
    <m/>
    <m/>
    <m/>
    <m/>
    <m/>
    <s v=""/>
    <n v="0"/>
    <s v=""/>
    <s v=""/>
    <s v=""/>
    <s v=""/>
    <m/>
    <s v="ANM 2023 09 28 - updated construction status"/>
  </r>
  <r>
    <m/>
    <s v="Pittsford-Brandon Seg 4"/>
    <s v="VTrans"/>
    <s v="Vtrans TS4"/>
    <m/>
    <m/>
    <n v="1.73"/>
    <n v="3.38"/>
    <n v="12.52"/>
    <s v="6760-9010.A"/>
    <s v="S/N 003"/>
    <m/>
    <m/>
    <m/>
    <x v="2"/>
    <n v="2027"/>
    <x v="15"/>
    <m/>
    <m/>
    <m/>
    <x v="3"/>
    <x v="3"/>
    <m/>
    <x v="1"/>
    <n v="0.21"/>
    <x v="1"/>
    <s v="Total Pervious"/>
    <m/>
    <m/>
    <m/>
    <m/>
    <n v="0.37"/>
    <s v="Developed Pervious "/>
    <m/>
    <m/>
    <m/>
    <m/>
    <m/>
    <m/>
    <n v="1007.1239999999999"/>
    <m/>
    <m/>
    <m/>
    <n v="0.14409052382882495"/>
    <n v="0.91072733055239774"/>
    <n v="4.0000000000000008E-2"/>
    <n v="0.55363665276198859"/>
    <n v="0.15214546611047955"/>
    <n v="2.1922719910039731E-2"/>
    <n v="0"/>
    <s v="No"/>
    <m/>
    <n v="1"/>
    <n v="2.1922719910039731E-2"/>
    <m/>
    <m/>
    <m/>
    <m/>
    <m/>
    <m/>
    <m/>
    <m/>
    <m/>
    <m/>
    <s v=""/>
    <n v="0"/>
    <s v=""/>
    <s v=""/>
    <s v=""/>
    <s v=""/>
    <m/>
    <s v="ANM 2023 09 28 - updated construction status"/>
  </r>
  <r>
    <m/>
    <s v="Pittsford-Brandon Seg 4"/>
    <s v="VTrans"/>
    <s v="Vtrans TS4"/>
    <m/>
    <m/>
    <n v="1.73"/>
    <n v="3.38"/>
    <n v="12.52"/>
    <s v="6760-9010.A"/>
    <s v="S/N 003"/>
    <m/>
    <m/>
    <m/>
    <x v="2"/>
    <n v="2027"/>
    <x v="15"/>
    <m/>
    <m/>
    <m/>
    <x v="3"/>
    <x v="3"/>
    <m/>
    <x v="1"/>
    <n v="0.19"/>
    <x v="1"/>
    <s v="Total Pervious"/>
    <m/>
    <m/>
    <m/>
    <m/>
    <n v="17.54"/>
    <s v="Developed Pervious "/>
    <m/>
    <m/>
    <m/>
    <m/>
    <m/>
    <m/>
    <n v="1913.0140799999999"/>
    <m/>
    <m/>
    <m/>
    <n v="0.1303676167975083"/>
    <n v="0.3020453720601789"/>
    <n v="3.0000000000000002E-2"/>
    <n v="0.51022686030089437"/>
    <n v="3.5306805809026835E-2"/>
    <n v="4.6028641300552503E-3"/>
    <n v="0"/>
    <s v="No"/>
    <m/>
    <n v="1"/>
    <n v="4.6028641300552503E-3"/>
    <m/>
    <m/>
    <m/>
    <m/>
    <m/>
    <m/>
    <m/>
    <m/>
    <m/>
    <m/>
    <s v=""/>
    <n v="0"/>
    <s v=""/>
    <s v=""/>
    <s v=""/>
    <s v=""/>
    <m/>
    <s v="ANM 2023 09 28 - updated construction status"/>
  </r>
  <r>
    <m/>
    <s v="Pittsford-Brandon Seg 4"/>
    <s v="VTrans"/>
    <s v="Vtrans TS4"/>
    <m/>
    <m/>
    <n v="1.73"/>
    <n v="3.38"/>
    <n v="12.52"/>
    <s v="6760-9010.A"/>
    <s v="S/N 003"/>
    <m/>
    <m/>
    <m/>
    <x v="2"/>
    <n v="2027"/>
    <x v="15"/>
    <m/>
    <m/>
    <m/>
    <x v="3"/>
    <x v="3"/>
    <m/>
    <x v="1"/>
    <n v="0.06"/>
    <x v="1"/>
    <s v="Total Pervious"/>
    <m/>
    <m/>
    <m/>
    <m/>
    <n v="4.6500000000000004"/>
    <s v="Developed Pervious "/>
    <m/>
    <m/>
    <m/>
    <m/>
    <m/>
    <m/>
    <n v="1415.2544000000003"/>
    <m/>
    <m/>
    <m/>
    <n v="4.1168721093949985E-2"/>
    <n v="0.5197338217636458"/>
    <n v="3.9999999999999994E-2"/>
    <n v="0.59866910881822899"/>
    <n v="7.3946764352729163E-2"/>
    <n v="3.0442937174375499E-3"/>
    <n v="0"/>
    <s v="No"/>
    <m/>
    <n v="1"/>
    <n v="3.0442937174375499E-3"/>
    <m/>
    <m/>
    <m/>
    <m/>
    <m/>
    <m/>
    <m/>
    <m/>
    <m/>
    <m/>
    <s v=""/>
    <n v="0"/>
    <s v=""/>
    <s v=""/>
    <s v=""/>
    <s v=""/>
    <m/>
    <s v="ANM 2023 09 28 - updated construction status"/>
  </r>
  <r>
    <m/>
    <s v="Pittsford-Brandon Seg 4"/>
    <s v="VTrans"/>
    <s v="Vtrans TS4"/>
    <m/>
    <m/>
    <n v="1.73"/>
    <n v="3.38"/>
    <n v="12.52"/>
    <s v="6760-9010.A"/>
    <s v="S/N 003"/>
    <m/>
    <m/>
    <m/>
    <x v="2"/>
    <n v="2027"/>
    <x v="15"/>
    <m/>
    <m/>
    <m/>
    <x v="3"/>
    <x v="3"/>
    <m/>
    <x v="1"/>
    <n v="0.23"/>
    <x v="1"/>
    <s v="Total Pervious"/>
    <m/>
    <m/>
    <m/>
    <m/>
    <n v="2.37"/>
    <s v="Developed Pervious "/>
    <m/>
    <m/>
    <m/>
    <m/>
    <m/>
    <m/>
    <n v="1007.1239999999999"/>
    <m/>
    <m/>
    <m/>
    <n v="0.15781343086014163"/>
    <n v="0.49211591383566083"/>
    <n v="3.9999999999999994E-2"/>
    <n v="0.46057956917830417"/>
    <n v="6.8423182767132162E-2"/>
    <n v="1.0798097222851646E-2"/>
    <n v="0"/>
    <s v="No"/>
    <m/>
    <n v="1"/>
    <n v="1.0798097222851646E-2"/>
    <m/>
    <m/>
    <m/>
    <m/>
    <m/>
    <m/>
    <m/>
    <m/>
    <m/>
    <m/>
    <s v=""/>
    <n v="0"/>
    <s v=""/>
    <s v=""/>
    <s v=""/>
    <s v=""/>
    <m/>
    <s v="ANM 2023 09 28 - updated construction status"/>
  </r>
  <r>
    <m/>
    <s v="Pittsford-Brandon Seg 4"/>
    <s v="VTrans"/>
    <s v="Vtrans TS4"/>
    <m/>
    <m/>
    <n v="1.73"/>
    <n v="3.38"/>
    <n v="12.52"/>
    <s v="6760-9010.A"/>
    <s v="S/N 003"/>
    <m/>
    <m/>
    <m/>
    <x v="2"/>
    <n v="2027"/>
    <x v="15"/>
    <m/>
    <m/>
    <m/>
    <x v="3"/>
    <x v="3"/>
    <m/>
    <x v="1"/>
    <n v="1.66"/>
    <x v="1"/>
    <s v="Total Pervious"/>
    <m/>
    <m/>
    <m/>
    <m/>
    <n v="22.99"/>
    <s v="Developed Pervious "/>
    <m/>
    <m/>
    <m/>
    <m/>
    <m/>
    <m/>
    <n v="4335.5430999999999"/>
    <m/>
    <m/>
    <m/>
    <n v="1.1390012835992829"/>
    <n v="0.31565365643391546"/>
    <n v="3.0000000000000002E-2"/>
    <n v="0.57826828216957726"/>
    <n v="3.7348048465087325E-2"/>
    <n v="4.2539475141662689E-2"/>
    <n v="0"/>
    <s v="No"/>
    <m/>
    <n v="1"/>
    <n v="4.2539475141662689E-2"/>
    <m/>
    <m/>
    <m/>
    <m/>
    <m/>
    <m/>
    <m/>
    <m/>
    <m/>
    <m/>
    <s v=""/>
    <n v="0"/>
    <s v=""/>
    <s v=""/>
    <s v=""/>
    <s v=""/>
    <m/>
    <s v="ANM 2023 09 28 - updated construction status"/>
  </r>
  <r>
    <m/>
    <s v="Pittsford-Brandon Seg 4"/>
    <s v="VTrans"/>
    <s v="Vtrans TS4"/>
    <m/>
    <m/>
    <n v="1.73"/>
    <n v="3.38"/>
    <n v="25.65"/>
    <s v="6760-9010.A"/>
    <s v="S/N 003"/>
    <m/>
    <m/>
    <m/>
    <x v="2"/>
    <n v="2027"/>
    <x v="15"/>
    <m/>
    <m/>
    <m/>
    <x v="3"/>
    <x v="3"/>
    <m/>
    <x v="13"/>
    <n v="0.3"/>
    <x v="1"/>
    <s v="Total Pervious"/>
    <m/>
    <m/>
    <m/>
    <m/>
    <n v="25.35"/>
    <s v="Developed Pervious "/>
    <m/>
    <m/>
    <m/>
    <m/>
    <m/>
    <m/>
    <n v="16435"/>
    <m/>
    <m/>
    <m/>
    <n v="0.20584360546974992"/>
    <n v="0.775182269901462"/>
    <n v="9.999999999999995E-3"/>
    <n v="0.87591134950730976"/>
    <n v="8.8759113495073094E-2"/>
    <n v="1.827049594012458E-2"/>
    <n v="0"/>
    <s v="No"/>
    <m/>
    <n v="1"/>
    <n v="1.827049594012458E-2"/>
    <m/>
    <m/>
    <m/>
    <m/>
    <m/>
    <m/>
    <m/>
    <m/>
    <m/>
    <m/>
    <s v=""/>
    <n v="0"/>
    <s v=""/>
    <s v=""/>
    <s v=""/>
    <s v=""/>
    <m/>
    <s v="ANM 2023 09 28 - updated construction status"/>
  </r>
  <r>
    <m/>
    <s v="Pittsford-Brandon Seg 3"/>
    <s v="VTrans"/>
    <s v="Vtrans TS4"/>
    <m/>
    <m/>
    <m/>
    <m/>
    <n v="4.63"/>
    <s v="3598-9010"/>
    <s v="S/N 001"/>
    <m/>
    <m/>
    <m/>
    <x v="2"/>
    <n v="2029"/>
    <x v="15"/>
    <m/>
    <m/>
    <m/>
    <x v="3"/>
    <x v="3"/>
    <m/>
    <x v="1"/>
    <n v="1.1599999999999999"/>
    <x v="1"/>
    <s v="Total Pervious"/>
    <m/>
    <m/>
    <m/>
    <m/>
    <n v="3.47"/>
    <s v="Developed Pervious "/>
    <m/>
    <m/>
    <m/>
    <m/>
    <m/>
    <m/>
    <n v="490.19800000000004"/>
    <m/>
    <m/>
    <m/>
    <n v="0.79592860781636632"/>
    <n v="0.10547718339264218"/>
    <n v="0.02"/>
    <n v="5.4771833926421792E-2"/>
    <n v="1.0954366785284359E-3"/>
    <n v="8.718893904921224E-4"/>
    <n v="0"/>
    <s v="No"/>
    <m/>
    <n v="1"/>
    <n v="8.718893904921224E-4"/>
    <m/>
    <m/>
    <m/>
    <m/>
    <m/>
    <m/>
    <m/>
    <m/>
    <m/>
    <m/>
    <s v=""/>
    <n v="0"/>
    <s v=""/>
    <s v=""/>
    <s v=""/>
    <s v=""/>
    <m/>
    <s v="ANM 2023 09 28 - updated construction status"/>
  </r>
  <r>
    <m/>
    <s v="Pittsford-Brandon Seg 3"/>
    <s v="VTrans"/>
    <s v="Vtrans TS4"/>
    <m/>
    <m/>
    <n v="0.1"/>
    <n v="0"/>
    <n v="0.97"/>
    <s v="3598-9010"/>
    <s v="S/N 001"/>
    <m/>
    <m/>
    <m/>
    <x v="2"/>
    <n v="2029"/>
    <x v="15"/>
    <m/>
    <m/>
    <m/>
    <x v="3"/>
    <x v="3"/>
    <m/>
    <x v="1"/>
    <n v="0.75"/>
    <x v="1"/>
    <s v="Total Pervious"/>
    <m/>
    <m/>
    <m/>
    <m/>
    <n v="0.22"/>
    <s v="Developed Pervious "/>
    <m/>
    <m/>
    <m/>
    <m/>
    <m/>
    <m/>
    <n v="526.16479000000004"/>
    <m/>
    <m/>
    <m/>
    <n v="0.51460901367437484"/>
    <n v="0.19003854852052249"/>
    <n v="0.02"/>
    <n v="0.90038548520522477"/>
    <n v="1.8007709704104497E-2"/>
    <n v="9.2669297293636842E-3"/>
    <n v="0"/>
    <s v="No"/>
    <m/>
    <n v="1"/>
    <n v="9.2669297293636842E-3"/>
    <m/>
    <m/>
    <m/>
    <m/>
    <m/>
    <m/>
    <m/>
    <m/>
    <m/>
    <m/>
    <s v=""/>
    <n v="0"/>
    <s v=""/>
    <s v=""/>
    <s v=""/>
    <s v=""/>
    <m/>
    <s v="ANM 2023 09 28 - updated construction status"/>
  </r>
  <r>
    <m/>
    <s v="Pittsford-Brandon Seg 3"/>
    <s v="VTrans"/>
    <s v="Vtrans TS4"/>
    <m/>
    <m/>
    <n v="0.3"/>
    <n v="0"/>
    <n v="0.73"/>
    <s v="3598-9010"/>
    <s v="S/N 001"/>
    <m/>
    <m/>
    <m/>
    <x v="2"/>
    <n v="2029"/>
    <x v="15"/>
    <m/>
    <m/>
    <m/>
    <x v="3"/>
    <x v="3"/>
    <m/>
    <x v="1"/>
    <n v="0.51"/>
    <x v="1"/>
    <s v="Total Pervious"/>
    <m/>
    <m/>
    <m/>
    <m/>
    <n v="0.22"/>
    <s v="Developed Pervious "/>
    <m/>
    <m/>
    <m/>
    <m/>
    <m/>
    <m/>
    <n v="715.53160000000003"/>
    <m/>
    <m/>
    <m/>
    <n v="0.34993412929857487"/>
    <n v="0.36942754876700779"/>
    <n v="3.0000000000000002E-2"/>
    <n v="0.84713774383503881"/>
    <n v="4.5414132315051162E-2"/>
    <n v="1.5891954849517699E-2"/>
    <n v="0"/>
    <s v="No"/>
    <m/>
    <n v="1"/>
    <n v="1.5891954849517699E-2"/>
    <m/>
    <m/>
    <m/>
    <m/>
    <m/>
    <m/>
    <m/>
    <m/>
    <m/>
    <m/>
    <s v=""/>
    <n v="0"/>
    <s v=""/>
    <s v=""/>
    <s v=""/>
    <s v=""/>
    <m/>
    <s v="ANM 2023 09 28 - updated construction status"/>
  </r>
  <r>
    <m/>
    <s v="Pittsford-Brandon Seg 3"/>
    <s v="VTrans"/>
    <s v="Vtrans TS4"/>
    <m/>
    <m/>
    <n v="0.17499999999999999"/>
    <n v="0"/>
    <n v="0.62"/>
    <s v="3598-9010"/>
    <s v="S/N 002"/>
    <m/>
    <m/>
    <m/>
    <x v="2"/>
    <n v="2029"/>
    <x v="15"/>
    <m/>
    <m/>
    <m/>
    <x v="3"/>
    <x v="3"/>
    <m/>
    <x v="1"/>
    <n v="0.32800000000000001"/>
    <x v="1"/>
    <s v="Total Pervious"/>
    <m/>
    <m/>
    <m/>
    <m/>
    <n v="0.29199999999999998"/>
    <s v="Developed Pervious "/>
    <m/>
    <m/>
    <m/>
    <m/>
    <m/>
    <m/>
    <n v="599.09400000000005"/>
    <m/>
    <m/>
    <m/>
    <n v="0.22505567531359327"/>
    <n v="0.45112856209970914"/>
    <n v="3.9999999999999994E-2"/>
    <n v="0.25564281049854565"/>
    <n v="6.0225712419941825E-2"/>
    <n v="1.3554138379912269E-2"/>
    <n v="0"/>
    <s v="No"/>
    <m/>
    <n v="1"/>
    <n v="1.3554138379912269E-2"/>
    <m/>
    <m/>
    <m/>
    <m/>
    <m/>
    <m/>
    <m/>
    <m/>
    <m/>
    <m/>
    <s v=""/>
    <n v="0"/>
    <s v=""/>
    <s v=""/>
    <s v=""/>
    <s v=""/>
    <m/>
    <s v="ANM 2023 09 28 - updated construction status"/>
  </r>
  <r>
    <m/>
    <s v="Pittsford-Brandon Seg 3"/>
    <s v="VTrans"/>
    <s v="Vtrans TS4"/>
    <m/>
    <m/>
    <n v="0.18099999999999999"/>
    <n v="0"/>
    <n v="0.503"/>
    <s v="3598-9010"/>
    <s v="S/N 002"/>
    <m/>
    <m/>
    <m/>
    <x v="2"/>
    <n v="2029"/>
    <x v="15"/>
    <m/>
    <m/>
    <m/>
    <x v="3"/>
    <x v="3"/>
    <m/>
    <x v="1"/>
    <n v="0.314"/>
    <x v="1"/>
    <s v="Total Pervious"/>
    <m/>
    <m/>
    <m/>
    <m/>
    <n v="0.189"/>
    <s v="Developed Pervious "/>
    <m/>
    <m/>
    <m/>
    <m/>
    <m/>
    <m/>
    <n v="447.29607000000004"/>
    <m/>
    <m/>
    <m/>
    <n v="0.21544964039167161"/>
    <n v="0.36869396909468483"/>
    <n v="3.0000000000000002E-2"/>
    <n v="0.84346984547342407"/>
    <n v="4.5304095364202726E-2"/>
    <n v="9.7607510544874734E-3"/>
    <n v="0"/>
    <s v="No"/>
    <m/>
    <n v="1"/>
    <n v="9.7607510544874734E-3"/>
    <m/>
    <m/>
    <m/>
    <m/>
    <m/>
    <m/>
    <m/>
    <m/>
    <m/>
    <m/>
    <s v=""/>
    <n v="0"/>
    <s v=""/>
    <s v=""/>
    <s v=""/>
    <s v=""/>
    <m/>
    <s v="ANM 2023 09 28 - updated construction status"/>
  </r>
  <r>
    <m/>
    <s v="Pittsford-Brandon Seg 3"/>
    <s v="VTrans"/>
    <s v="Vtrans TS4"/>
    <m/>
    <m/>
    <n v="0.26300000000000001"/>
    <n v="0"/>
    <n v="2.0289999999999999"/>
    <s v="3598-9010"/>
    <s v="S/N 002"/>
    <m/>
    <m/>
    <m/>
    <x v="2"/>
    <n v="2029"/>
    <x v="15"/>
    <m/>
    <m/>
    <m/>
    <x v="3"/>
    <x v="3"/>
    <m/>
    <x v="1"/>
    <n v="1.4"/>
    <x v="1"/>
    <s v="Total Pervious"/>
    <m/>
    <m/>
    <m/>
    <m/>
    <n v="0.6331"/>
    <s v="Developed Pervious "/>
    <m/>
    <m/>
    <m/>
    <m/>
    <m/>
    <m/>
    <n v="973.37427000000014"/>
    <m/>
    <m/>
    <m/>
    <n v="0.96060349219216634"/>
    <n v="0.186722879099117"/>
    <n v="0.02"/>
    <n v="0.8672287909911699"/>
    <n v="1.7344575819823398E-2"/>
    <n v="1.6661260103114164E-2"/>
    <n v="0"/>
    <s v="No"/>
    <m/>
    <n v="1"/>
    <n v="1.6661260103114164E-2"/>
    <m/>
    <m/>
    <m/>
    <m/>
    <m/>
    <m/>
    <m/>
    <m/>
    <m/>
    <m/>
    <s v=""/>
    <n v="0"/>
    <s v=""/>
    <s v=""/>
    <s v=""/>
    <s v=""/>
    <m/>
    <s v="ANM 2023 09 28 - updated construction status"/>
  </r>
  <r>
    <m/>
    <s v="I-89 Outfall "/>
    <s v="VTrans"/>
    <s v="Vtrans TS4"/>
    <n v="44.472064000000003"/>
    <n v="-73.182822000000002"/>
    <n v="0"/>
    <n v="0"/>
    <n v="13.072755000000001"/>
    <s v="NA"/>
    <s v="NA"/>
    <m/>
    <m/>
    <m/>
    <x v="1"/>
    <n v="2032"/>
    <x v="15"/>
    <m/>
    <m/>
    <s v="Centennial Brook"/>
    <x v="1"/>
    <x v="1"/>
    <s v="Yes"/>
    <x v="13"/>
    <n v="2.8231299999999999"/>
    <x v="2"/>
    <s v="Total Pervious"/>
    <m/>
    <m/>
    <m/>
    <m/>
    <n v="10.249625000000002"/>
    <s v="Developed Pervious "/>
    <m/>
    <m/>
    <m/>
    <m/>
    <m/>
    <m/>
    <n v="125017.20000000001"/>
    <m/>
    <m/>
    <m/>
    <n v="2.8739691532361999"/>
    <n v="2"/>
    <s v=""/>
    <s v=""/>
    <n v="0.13"/>
    <n v="0.37361598992070599"/>
    <n v="0"/>
    <s v="No"/>
    <m/>
    <n v="1"/>
    <n v="0.37361598992070599"/>
    <m/>
    <m/>
    <m/>
    <m/>
    <m/>
    <m/>
    <m/>
    <m/>
    <m/>
    <m/>
    <s v=""/>
    <n v="0"/>
    <s v=""/>
    <s v=""/>
    <s v=""/>
    <s v=""/>
    <m/>
    <m/>
  </r>
  <r>
    <m/>
    <s v="Randbury Rd"/>
    <s v="VTrans"/>
    <s v="Vtrans TS4"/>
    <n v="43.587445000000002"/>
    <n v="-72.967012999999994"/>
    <n v="0"/>
    <n v="0"/>
    <n v="23.099651999999999"/>
    <s v="NA"/>
    <s v="NA"/>
    <m/>
    <m/>
    <m/>
    <x v="1"/>
    <n v="2032"/>
    <x v="15"/>
    <m/>
    <m/>
    <s v="Moon Brook"/>
    <x v="3"/>
    <x v="3"/>
    <s v="Yes"/>
    <x v="4"/>
    <n v="10.953163"/>
    <x v="1"/>
    <s v="Total Pervious"/>
    <m/>
    <m/>
    <m/>
    <m/>
    <n v="12.146488999999999"/>
    <s v="Developed Pervious "/>
    <m/>
    <m/>
    <m/>
    <m/>
    <m/>
    <m/>
    <n v="35937"/>
    <m/>
    <m/>
    <m/>
    <n v="7.515461877392875"/>
    <n v="0.7347900776239612"/>
    <n v="5.9999999999999942E-2"/>
    <n v="0.6739503881198059"/>
    <n v="0.45043702328718827"/>
    <n v="3.3852422766811903"/>
    <n v="0"/>
    <s v="No"/>
    <m/>
    <n v="1"/>
    <n v="3.3852422766811903"/>
    <m/>
    <m/>
    <m/>
    <m/>
    <m/>
    <m/>
    <m/>
    <m/>
    <m/>
    <m/>
    <s v=""/>
    <n v="0"/>
    <s v=""/>
    <s v=""/>
    <s v=""/>
    <s v=""/>
    <m/>
    <m/>
  </r>
  <r>
    <m/>
    <s v="Tracy Rd."/>
    <s v="VTrans"/>
    <s v="Vtrans TS4"/>
    <n v="44.503770000000003"/>
    <n v="-73.153876999999994"/>
    <n v="0"/>
    <n v="0"/>
    <n v="4.9701269999999997"/>
    <s v="NA"/>
    <s v="NA"/>
    <m/>
    <m/>
    <m/>
    <x v="1"/>
    <n v="2032"/>
    <x v="15"/>
    <m/>
    <m/>
    <s v="Sunderland Brook"/>
    <x v="1"/>
    <x v="1"/>
    <s v="Yes"/>
    <x v="5"/>
    <n v="3.893221"/>
    <x v="1"/>
    <s v="Total Pervious"/>
    <m/>
    <m/>
    <m/>
    <m/>
    <n v="1.0769059999999997"/>
    <s v="Developed Pervious "/>
    <m/>
    <m/>
    <m/>
    <m/>
    <m/>
    <m/>
    <n v="18513"/>
    <s v="2.41 in/hr"/>
    <m/>
    <m/>
    <n v="2.5569914634718733"/>
    <n v="1.1989008503629084"/>
    <n v="2.0000000000000018E-2"/>
    <n v="0.39780170072581678"/>
    <n v="0.96795603401451635"/>
    <n v="2.4750553159912085"/>
    <n v="0"/>
    <s v="No"/>
    <m/>
    <n v="1"/>
    <n v="2.4750553159912085"/>
    <m/>
    <m/>
    <m/>
    <m/>
    <m/>
    <m/>
    <m/>
    <m/>
    <m/>
    <m/>
    <s v=""/>
    <n v="0"/>
    <s v=""/>
    <s v=""/>
    <s v=""/>
    <s v=""/>
    <m/>
    <m/>
  </r>
  <r>
    <m/>
    <s v="189 Cloverleaf"/>
    <s v="VTrans"/>
    <s v="Vtrans TS4"/>
    <n v="44.444265434902249"/>
    <n v="-73.209502213537718"/>
    <n v="0"/>
    <n v="0"/>
    <n v="21.254874999999998"/>
    <s v="NA"/>
    <s v="NA"/>
    <m/>
    <m/>
    <m/>
    <x v="1"/>
    <s v="2023-2025"/>
    <x v="15"/>
    <m/>
    <m/>
    <s v="Potash Brook"/>
    <x v="7"/>
    <x v="5"/>
    <s v="Yes"/>
    <x v="13"/>
    <n v="11.531890000000001"/>
    <x v="1"/>
    <s v="Total Pervious"/>
    <m/>
    <m/>
    <m/>
    <m/>
    <n v="9.7229849999999978"/>
    <s v="Developed Pervious "/>
    <m/>
    <m/>
    <m/>
    <m/>
    <m/>
    <m/>
    <n v="49179.24"/>
    <m/>
    <m/>
    <m/>
    <n v="7.8000828266812512"/>
    <n v="0.95781971885554473"/>
    <n v="9.999999999999995E-3"/>
    <n v="0.78909859427772366"/>
    <n v="9.7890985942777231E-2"/>
    <n v="0.76355779833915249"/>
    <n v="0"/>
    <s v="No"/>
    <m/>
    <n v="1"/>
    <n v="0.76355779833915249"/>
    <m/>
    <m/>
    <m/>
    <m/>
    <m/>
    <m/>
    <m/>
    <m/>
    <m/>
    <m/>
    <s v=""/>
    <n v="0"/>
    <s v=""/>
    <s v=""/>
    <s v=""/>
    <s v=""/>
    <m/>
    <m/>
  </r>
  <r>
    <m/>
    <s v="Exit 13"/>
    <s v="VTrans"/>
    <s v="Vtrans TS4"/>
    <n v="44.453834713475523"/>
    <n v="-73.183113416991915"/>
    <n v="0"/>
    <n v="0"/>
    <n v="16.722501999999999"/>
    <s v="NA"/>
    <s v="NA"/>
    <m/>
    <m/>
    <m/>
    <x v="1"/>
    <s v="2023-2025"/>
    <x v="15"/>
    <m/>
    <m/>
    <s v="Potash Brook"/>
    <x v="7"/>
    <x v="5"/>
    <s v="Yes"/>
    <x v="4"/>
    <n v="4.7749309999999996"/>
    <x v="2"/>
    <s v="Total Pervious"/>
    <m/>
    <m/>
    <m/>
    <m/>
    <n v="11.947571"/>
    <s v="Developed Pervious "/>
    <m/>
    <m/>
    <m/>
    <m/>
    <m/>
    <m/>
    <n v="24698.519999999997"/>
    <m/>
    <m/>
    <m/>
    <n v="4.6747609514796782"/>
    <n v="0.88013918861971641"/>
    <n v="4.0000000000000036E-2"/>
    <n v="0.40069594309858192"/>
    <n v="0.52602783772394335"/>
    <n v="2.4590543951831791"/>
    <n v="0"/>
    <s v="No"/>
    <m/>
    <n v="1"/>
    <n v="2.4590543951831791"/>
    <m/>
    <m/>
    <m/>
    <m/>
    <m/>
    <m/>
    <m/>
    <m/>
    <m/>
    <m/>
    <s v=""/>
    <n v="0"/>
    <s v=""/>
    <s v=""/>
    <s v=""/>
    <s v=""/>
    <m/>
    <m/>
  </r>
  <r>
    <m/>
    <s v="Exit 14"/>
    <s v="VTrans"/>
    <s v="Vtrans TS4"/>
    <n v="44.46827171945035"/>
    <n v="-73.18502522054105"/>
    <n v="0"/>
    <n v="0"/>
    <n v="4.905017"/>
    <s v="NA"/>
    <s v="NA"/>
    <m/>
    <m/>
    <m/>
    <x v="1"/>
    <s v="2023-2025"/>
    <x v="15"/>
    <m/>
    <m/>
    <s v="Potash Brook"/>
    <x v="7"/>
    <x v="5"/>
    <s v="Yes"/>
    <x v="4"/>
    <n v="1.812014"/>
    <x v="2"/>
    <s v="Total Pervious"/>
    <m/>
    <m/>
    <m/>
    <m/>
    <n v="3.0930029999999999"/>
    <s v="Developed Pervious "/>
    <m/>
    <m/>
    <m/>
    <m/>
    <m/>
    <m/>
    <n v="12806.64"/>
    <m/>
    <m/>
    <m/>
    <n v="1.7740009836235326"/>
    <n v="1.2281041877741838"/>
    <n v="4.0000000000000036E-2"/>
    <n v="0.45620837554836768"/>
    <n v="0.58824833502193463"/>
    <n v="1.0435531249438175"/>
    <n v="0"/>
    <s v="No"/>
    <m/>
    <n v="1"/>
    <n v="1.0435531249438175"/>
    <m/>
    <m/>
    <m/>
    <m/>
    <m/>
    <m/>
    <m/>
    <m/>
    <m/>
    <m/>
    <s v=""/>
    <n v="0"/>
    <s v=""/>
    <s v=""/>
    <s v=""/>
    <s v=""/>
    <m/>
    <m/>
  </r>
  <r>
    <m/>
    <s v="I-289/Route 15 North"/>
    <s v="VTrans"/>
    <s v="Vtrans TS4"/>
    <n v="44.508036747380402"/>
    <n v="-73.089368913281461"/>
    <n v="0"/>
    <n v="0"/>
    <n v="2.781237"/>
    <s v="NA"/>
    <s v="NA"/>
    <m/>
    <m/>
    <m/>
    <x v="1"/>
    <s v="2023-2025"/>
    <x v="15"/>
    <m/>
    <m/>
    <s v="Indian Brook"/>
    <x v="0"/>
    <x v="0"/>
    <s v="Yes"/>
    <x v="11"/>
    <n v="0.85214800000000002"/>
    <x v="1"/>
    <s v="Total Pervious"/>
    <m/>
    <m/>
    <m/>
    <m/>
    <n v="1.9290889999999998"/>
    <s v="Developed Pervious "/>
    <m/>
    <m/>
    <m/>
    <m/>
    <m/>
    <m/>
    <n v="5270.76"/>
    <m/>
    <m/>
    <m/>
    <n v="0.58167612777018507"/>
    <n v="1.0304981020379016"/>
    <n v="4.9999999999999933E-2"/>
    <n v="6.0996204075803195E-2"/>
    <n v="0.48304981020379012"/>
    <n v="0.28097854311946346"/>
    <n v="0"/>
    <s v="No"/>
    <m/>
    <n v="1"/>
    <n v="0.28097854311946346"/>
    <m/>
    <m/>
    <m/>
    <m/>
    <m/>
    <m/>
    <m/>
    <m/>
    <m/>
    <m/>
    <s v=""/>
    <n v="0"/>
    <s v=""/>
    <s v=""/>
    <s v=""/>
    <s v=""/>
    <m/>
    <m/>
  </r>
  <r>
    <m/>
    <s v="I-289/Route 15 South"/>
    <s v="VTrans"/>
    <s v="Vtrans TS4"/>
    <n v="44.506577130390603"/>
    <n v="-73.087119147499237"/>
    <n v="0"/>
    <n v="0"/>
    <n v="2.1535299999999999"/>
    <s v="NA"/>
    <s v="NA"/>
    <m/>
    <m/>
    <m/>
    <x v="1"/>
    <s v="2023-2025"/>
    <x v="15"/>
    <m/>
    <m/>
    <s v="Indian Brook"/>
    <x v="0"/>
    <x v="0"/>
    <s v="Yes"/>
    <x v="11"/>
    <n v="0.76038099999999997"/>
    <x v="2"/>
    <s v="Total Pervious"/>
    <m/>
    <m/>
    <m/>
    <m/>
    <n v="1.393149"/>
    <s v="Developed Pervious "/>
    <m/>
    <m/>
    <m/>
    <m/>
    <m/>
    <m/>
    <n v="4443.12"/>
    <m/>
    <m/>
    <m/>
    <n v="0.70058301170763071"/>
    <n v="1.0471290976616368"/>
    <n v="4.9999999999999933E-2"/>
    <n v="9.4258195323273508E-2"/>
    <n v="0.48471290976616366"/>
    <n v="0.339581630137548"/>
    <n v="0"/>
    <s v="No"/>
    <m/>
    <n v="1"/>
    <n v="0.339581630137548"/>
    <m/>
    <m/>
    <m/>
    <m/>
    <m/>
    <m/>
    <m/>
    <m/>
    <m/>
    <m/>
    <s v=""/>
    <n v="0"/>
    <s v=""/>
    <s v=""/>
    <s v=""/>
    <s v=""/>
    <m/>
    <m/>
  </r>
  <r>
    <m/>
    <s v="I-89 Cloverleaf (NE) "/>
    <s v="VTrans"/>
    <s v="Vtrans TS4"/>
    <n v="44.469862999999997"/>
    <n v="-73.183543"/>
    <n v="0"/>
    <n v="0"/>
    <n v="39.173386000000001"/>
    <s v="NA"/>
    <s v="NA"/>
    <m/>
    <m/>
    <m/>
    <x v="1"/>
    <s v="2023-2025"/>
    <x v="15"/>
    <m/>
    <m/>
    <s v="Centennial Brook"/>
    <x v="1"/>
    <x v="1"/>
    <s v="Yes"/>
    <x v="9"/>
    <n v="13.797972"/>
    <x v="2"/>
    <s v="Total Pervious"/>
    <m/>
    <m/>
    <m/>
    <m/>
    <n v="25.375413999999999"/>
    <s v="Developed Pervious "/>
    <m/>
    <m/>
    <m/>
    <m/>
    <m/>
    <m/>
    <n v="102583.8"/>
    <s v="0.17 in/hr"/>
    <m/>
    <m/>
    <n v="14.046446995078794"/>
    <n v="1.2482168208550262"/>
    <n v="6.9999999999999951E-2"/>
    <n v="0.49643364171005233"/>
    <n v="0.86475035491970365"/>
    <n v="12.146670024355192"/>
    <n v="0"/>
    <s v="No"/>
    <m/>
    <n v="1"/>
    <n v="12.146670024355192"/>
    <m/>
    <m/>
    <m/>
    <m/>
    <m/>
    <m/>
    <m/>
    <m/>
    <m/>
    <m/>
    <s v=""/>
    <n v="0"/>
    <s v=""/>
    <s v=""/>
    <s v=""/>
    <s v=""/>
    <m/>
    <m/>
  </r>
  <r>
    <m/>
    <s v="I-89 Swale"/>
    <s v="VTrans"/>
    <s v="Vtrans TS4"/>
    <n v="44.446487591894844"/>
    <n v="-73.151795579645778"/>
    <n v="0"/>
    <n v="0"/>
    <n v="6.2805359999999997"/>
    <s v="NA"/>
    <s v="NA"/>
    <m/>
    <m/>
    <m/>
    <x v="1"/>
    <s v="2023-2025"/>
    <x v="15"/>
    <m/>
    <m/>
    <s v="Potash Brook"/>
    <x v="7"/>
    <x v="5"/>
    <s v="Yes"/>
    <x v="8"/>
    <n v="1.7972840000000001"/>
    <x v="1"/>
    <s v="Total Pervious"/>
    <m/>
    <m/>
    <m/>
    <m/>
    <n v="4.4832519999999993"/>
    <s v="Developed Pervious "/>
    <m/>
    <m/>
    <m/>
    <m/>
    <m/>
    <m/>
    <n v="23130.36"/>
    <s v="0.17 in/hr"/>
    <m/>
    <m/>
    <n v="1.2156692496259491"/>
    <n v="1.6521473669640545"/>
    <n v="2.0000000000000018E-2"/>
    <n v="0.30429473392810902"/>
    <n v="0.90608589467856215"/>
    <n v="1.1015007596805444"/>
    <n v="0"/>
    <s v="No"/>
    <m/>
    <n v="1"/>
    <n v="1.1015007596805444"/>
    <m/>
    <m/>
    <m/>
    <m/>
    <m/>
    <m/>
    <m/>
    <m/>
    <m/>
    <m/>
    <s v=""/>
    <n v="0"/>
    <s v=""/>
    <s v=""/>
    <s v=""/>
    <s v=""/>
    <m/>
    <m/>
  </r>
  <r>
    <m/>
    <s v="Dorset St / 189 Ramps"/>
    <s v="VTrans"/>
    <s v="Vtrans TS4"/>
    <n v="44.452496127336417"/>
    <n v="-73.179680653576966"/>
    <n v="0"/>
    <n v="0"/>
    <n v="9.3633150000000001"/>
    <s v="NA"/>
    <s v="NA"/>
    <m/>
    <m/>
    <m/>
    <x v="1"/>
    <s v="2026-2027"/>
    <x v="15"/>
    <m/>
    <m/>
    <s v="Potash Brook"/>
    <x v="7"/>
    <x v="5"/>
    <s v="Yes"/>
    <x v="13"/>
    <n v="5.5722849999999999"/>
    <x v="2"/>
    <s v="Total Pervious"/>
    <m/>
    <m/>
    <m/>
    <m/>
    <n v="3.7910300000000001"/>
    <s v="Developed Pervious "/>
    <m/>
    <m/>
    <m/>
    <m/>
    <m/>
    <m/>
    <n v="15158.88"/>
    <m/>
    <m/>
    <m/>
    <n v="5.455387801104548"/>
    <n v="0.66438331669647832"/>
    <n v="2.0000000000000004E-2"/>
    <n v="0.32191658348239161"/>
    <n v="8.643833166964783E-2"/>
    <n v="0.4715546201384257"/>
    <n v="0"/>
    <s v="No"/>
    <m/>
    <n v="1"/>
    <n v="0.4715546201384257"/>
    <m/>
    <m/>
    <m/>
    <m/>
    <m/>
    <m/>
    <m/>
    <m/>
    <m/>
    <m/>
    <s v=""/>
    <n v="0"/>
    <s v=""/>
    <s v=""/>
    <s v=""/>
    <s v=""/>
    <m/>
    <m/>
  </r>
  <r>
    <m/>
    <s v="1690 Shelburne Rd"/>
    <s v="VTrans"/>
    <s v="Vtrans TS4"/>
    <n v="44.425328"/>
    <n v="-73.211496999999994"/>
    <n v="0"/>
    <n v="0"/>
    <n v="0.81016200000000005"/>
    <s v="NA"/>
    <s v="NA"/>
    <m/>
    <m/>
    <m/>
    <x v="1"/>
    <s v="2028-2029"/>
    <x v="15"/>
    <m/>
    <m/>
    <s v="Bartlett Brook"/>
    <x v="7"/>
    <x v="5"/>
    <s v="Yes"/>
    <x v="9"/>
    <n v="0.41585299999999997"/>
    <x v="2"/>
    <s v="Total Pervious"/>
    <m/>
    <m/>
    <m/>
    <m/>
    <n v="0.39430900000000008"/>
    <s v="Developed Pervious "/>
    <m/>
    <m/>
    <m/>
    <m/>
    <m/>
    <m/>
    <n v="1873.08"/>
    <s v="0.17 in/hr"/>
    <m/>
    <m/>
    <n v="0.40712910112327882"/>
    <n v="0.98360223117287049"/>
    <n v="7.0000000000000062E-2"/>
    <n v="0.91801115586435245"/>
    <n v="0.79426078091050467"/>
    <n v="0.32336667778956729"/>
    <n v="0"/>
    <s v="No"/>
    <m/>
    <n v="1"/>
    <n v="0.32336667778956729"/>
    <m/>
    <m/>
    <m/>
    <m/>
    <m/>
    <m/>
    <m/>
    <m/>
    <m/>
    <m/>
    <s v=""/>
    <n v="0"/>
    <s v=""/>
    <s v=""/>
    <s v=""/>
    <s v=""/>
    <m/>
    <m/>
  </r>
  <r>
    <m/>
    <s v="Fairview Dr"/>
    <s v="VTrans"/>
    <s v="Vtrans TS4"/>
    <n v="44.500981912732804"/>
    <n v="-73.095883514268053"/>
    <n v="0"/>
    <n v="0"/>
    <n v="29.399000000000001"/>
    <s v="NA"/>
    <s v="NA"/>
    <m/>
    <m/>
    <m/>
    <x v="1"/>
    <s v="2028-2029"/>
    <x v="15"/>
    <m/>
    <m/>
    <s v="Indian Brook"/>
    <x v="0"/>
    <x v="0"/>
    <s v="Yes"/>
    <x v="4"/>
    <n v="4.1269030000000004"/>
    <x v="1"/>
    <s v="Total Pervious"/>
    <m/>
    <m/>
    <m/>
    <m/>
    <n v="25.272097000000002"/>
    <s v="Developed Pervious "/>
    <m/>
    <m/>
    <m/>
    <m/>
    <m/>
    <m/>
    <n v="28967.200000000001"/>
    <m/>
    <m/>
    <m/>
    <n v="2.8170235178902732"/>
    <n v="0.80789164617635489"/>
    <n v="4.0000000000000036E-2"/>
    <n v="3.9458230881774255E-2"/>
    <n v="0.51157832923527102"/>
    <n v="1.4411281846987716"/>
    <n v="0"/>
    <s v="No"/>
    <m/>
    <n v="1"/>
    <n v="1.4411281846987716"/>
    <m/>
    <m/>
    <m/>
    <m/>
    <m/>
    <m/>
    <m/>
    <m/>
    <m/>
    <m/>
    <s v=""/>
    <n v="0"/>
    <s v=""/>
    <s v=""/>
    <s v=""/>
    <s v=""/>
    <m/>
    <m/>
  </r>
  <r>
    <m/>
    <s v="Queen City Pk Rd"/>
    <s v="VTrans"/>
    <s v="Vtrans TS4"/>
    <n v="44.444935728860642"/>
    <n v="-73.211521846612357"/>
    <n v="0"/>
    <n v="0"/>
    <n v="6.510942"/>
    <s v="NA"/>
    <s v="NA"/>
    <m/>
    <m/>
    <m/>
    <x v="1"/>
    <s v="2028-2029"/>
    <x v="15"/>
    <m/>
    <m/>
    <s v="Potash Brook"/>
    <x v="7"/>
    <x v="5"/>
    <s v="Yes"/>
    <x v="13"/>
    <n v="2.9227939999999997"/>
    <x v="2"/>
    <s v="Total Pervious"/>
    <m/>
    <m/>
    <m/>
    <m/>
    <n v="3.5881480000000003"/>
    <s v="Developed Pervious "/>
    <m/>
    <m/>
    <m/>
    <m/>
    <m/>
    <m/>
    <n v="19689.12"/>
    <m/>
    <m/>
    <m/>
    <n v="2.8614786811409618"/>
    <n v="1.2877321777247739"/>
    <n v="1.0000000000000009E-2"/>
    <n v="0.57546435544954777"/>
    <n v="0.11575464355449548"/>
    <n v="0.33122944477425986"/>
    <n v="0"/>
    <s v="No"/>
    <m/>
    <n v="1"/>
    <n v="0.33122944477425986"/>
    <m/>
    <m/>
    <m/>
    <m/>
    <m/>
    <m/>
    <m/>
    <m/>
    <m/>
    <m/>
    <s v=""/>
    <n v="0"/>
    <s v=""/>
    <s v=""/>
    <s v=""/>
    <s v=""/>
    <m/>
    <m/>
  </r>
  <r>
    <m/>
    <s v="Across from Tractor Supply"/>
    <s v="VTrans"/>
    <s v="Vtrans TS4"/>
    <n v="44.411012999999997"/>
    <n v="-73.217848564631623"/>
    <n v="0"/>
    <n v="0"/>
    <n v="6.7808120000000001"/>
    <s v="NA"/>
    <s v="NA"/>
    <m/>
    <m/>
    <m/>
    <x v="1"/>
    <s v="2030-2031"/>
    <x v="15"/>
    <m/>
    <m/>
    <s v="Munroe Brook"/>
    <x v="7"/>
    <x v="5"/>
    <s v="Yes"/>
    <x v="4"/>
    <n v="3.7664120000000003"/>
    <x v="2"/>
    <s v="Total Pervious"/>
    <m/>
    <m/>
    <m/>
    <m/>
    <n v="3.0143999999999997"/>
    <s v="Developed Pervious "/>
    <m/>
    <m/>
    <m/>
    <m/>
    <m/>
    <m/>
    <n v="23696.640000000003"/>
    <m/>
    <m/>
    <m/>
    <n v="3.687398989594715"/>
    <n v="1.3352765470562944"/>
    <n v="4.0000000000000036E-2"/>
    <n v="0.67055309411258879"/>
    <n v="0.5968221237645035"/>
    <n v="2.2007212961370022"/>
    <n v="0"/>
    <s v="No"/>
    <m/>
    <n v="1"/>
    <n v="2.2007212961370022"/>
    <m/>
    <m/>
    <m/>
    <m/>
    <m/>
    <m/>
    <m/>
    <m/>
    <m/>
    <m/>
    <s v=""/>
    <n v="0"/>
    <s v=""/>
    <s v=""/>
    <s v=""/>
    <s v=""/>
    <m/>
    <m/>
  </r>
  <r>
    <m/>
    <s v="By Danform Shoes"/>
    <s v="VTrans"/>
    <s v="Vtrans TS4"/>
    <n v="44.402706999999999"/>
    <n v="-73.215227526162266"/>
    <n v="0"/>
    <n v="0"/>
    <n v="4.8912659999999999"/>
    <s v="NA"/>
    <s v="NA"/>
    <m/>
    <m/>
    <m/>
    <x v="1"/>
    <s v="2030-2031"/>
    <x v="15"/>
    <m/>
    <m/>
    <s v="Munroe Brook"/>
    <x v="7"/>
    <x v="5"/>
    <s v="Yes"/>
    <x v="9"/>
    <n v="2.836052"/>
    <x v="2"/>
    <s v="Total Pervious"/>
    <m/>
    <m/>
    <m/>
    <m/>
    <n v="2.0552139999999999"/>
    <s v="Developed Pervious "/>
    <m/>
    <m/>
    <m/>
    <m/>
    <m/>
    <m/>
    <n v="6316.2"/>
    <s v="0.17 in/hr"/>
    <m/>
    <m/>
    <n v="2.7765563829018358"/>
    <n v="0.55086734603794707"/>
    <n v="0.16000000000000003"/>
    <n v="0.75433673018973546"/>
    <n v="0.45069387683035772"/>
    <n v="1.2513769604481035"/>
    <n v="0"/>
    <s v="No"/>
    <m/>
    <n v="1"/>
    <n v="1.2513769604481035"/>
    <m/>
    <m/>
    <m/>
    <m/>
    <m/>
    <m/>
    <m/>
    <m/>
    <m/>
    <m/>
    <s v=""/>
    <n v="0"/>
    <s v=""/>
    <s v=""/>
    <s v=""/>
    <s v=""/>
    <m/>
    <m/>
  </r>
  <r>
    <m/>
    <s v="M08 Executive Dr Pond"/>
    <s v="VTrans"/>
    <s v="Vtrans TS4"/>
    <n v="44.412340999999998"/>
    <n v="-73.211777877632898"/>
    <n v="0"/>
    <n v="0"/>
    <n v="91.095676999999995"/>
    <s v="NA"/>
    <s v="NA"/>
    <m/>
    <m/>
    <m/>
    <x v="1"/>
    <s v="2030-2031"/>
    <x v="15"/>
    <m/>
    <m/>
    <s v="Munroe Brook"/>
    <x v="7"/>
    <x v="5"/>
    <s v="Yes"/>
    <x v="13"/>
    <n v="21.338872000000002"/>
    <x v="1"/>
    <s v="Total Pervious"/>
    <m/>
    <m/>
    <m/>
    <m/>
    <n v="69.756804999999986"/>
    <s v="Developed Pervious "/>
    <m/>
    <m/>
    <m/>
    <m/>
    <m/>
    <m/>
    <n v="23348.16"/>
    <m/>
    <m/>
    <m/>
    <n v="14.433450980537398"/>
    <n v="0.24360975239353605"/>
    <n v="2.0000000000000004E-2"/>
    <n v="0.21804876196768019"/>
    <n v="3.4360975239353601E-2"/>
    <n v="0.49594745176066946"/>
    <n v="0"/>
    <s v="No"/>
    <m/>
    <n v="1"/>
    <n v="0.49594745176066946"/>
    <m/>
    <m/>
    <m/>
    <m/>
    <m/>
    <m/>
    <m/>
    <m/>
    <m/>
    <m/>
    <s v=""/>
    <n v="0"/>
    <s v=""/>
    <s v=""/>
    <s v=""/>
    <s v=""/>
    <m/>
    <m/>
  </r>
  <r>
    <m/>
    <m/>
    <m/>
    <m/>
    <m/>
    <m/>
    <m/>
    <m/>
    <m/>
    <m/>
    <m/>
    <m/>
    <m/>
    <m/>
    <x v="5"/>
    <m/>
    <x v="15"/>
    <m/>
    <m/>
    <m/>
    <x v="10"/>
    <x v="7"/>
    <m/>
    <x v="16"/>
    <m/>
    <x v="5"/>
    <m/>
    <m/>
    <m/>
    <m/>
    <m/>
    <m/>
    <m/>
    <m/>
    <m/>
    <m/>
    <m/>
    <m/>
    <m/>
    <m/>
    <m/>
    <m/>
    <m/>
    <n v="0"/>
    <s v=""/>
    <s v=""/>
    <s v=""/>
    <s v=""/>
    <s v=""/>
    <n v="0"/>
    <s v="No"/>
    <m/>
    <n v="1"/>
    <s v=""/>
    <m/>
    <m/>
    <m/>
    <m/>
    <m/>
    <m/>
    <m/>
    <m/>
    <m/>
    <m/>
    <s v=""/>
    <s v=""/>
    <s v=""/>
    <s v=""/>
    <s v=""/>
    <s v=""/>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0A3102-B3CD-428C-9D26-26D665CA9492}"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8:S46" firstHeaderRow="1" firstDataRow="2" firstDataCol="1" rowPageCount="1" colPageCount="1"/>
  <pivotFields count="7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0"/>
        <item x="1"/>
        <item x="2"/>
        <item x="5"/>
        <item x="4"/>
        <item x="3"/>
        <item t="default"/>
      </items>
    </pivotField>
    <pivotField showAll="0"/>
    <pivotField showAll="0"/>
    <pivotField showAll="0"/>
    <pivotField showAll="0"/>
    <pivotField showAll="0"/>
    <pivotField showAll="0"/>
    <pivotField showAll="0"/>
    <pivotField showAll="0"/>
    <pivotField axis="axisCol" dataField="1" showAll="0">
      <items count="19">
        <item x="3"/>
        <item x="6"/>
        <item x="13"/>
        <item x="1"/>
        <item x="4"/>
        <item x="9"/>
        <item x="5"/>
        <item x="2"/>
        <item x="8"/>
        <item x="11"/>
        <item x="0"/>
        <item x="7"/>
        <item x="15"/>
        <item x="16"/>
        <item m="1" x="17"/>
        <item x="14"/>
        <item x="12"/>
        <item x="10"/>
        <item t="default"/>
      </items>
    </pivotField>
    <pivotField showAll="0"/>
    <pivotField axis="axisRow" showAll="0">
      <items count="7">
        <item x="3"/>
        <item x="0"/>
        <item x="2"/>
        <item x="4"/>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showAll="0"/>
    <pivotField showAll="0"/>
    <pivotField numFmtId="2"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7">
    <i>
      <x/>
    </i>
    <i>
      <x v="1"/>
    </i>
    <i>
      <x v="2"/>
    </i>
    <i>
      <x v="3"/>
    </i>
    <i>
      <x v="4"/>
    </i>
    <i>
      <x v="5"/>
    </i>
    <i t="grand">
      <x/>
    </i>
  </rowItems>
  <colFields count="1">
    <field x="23"/>
  </colFields>
  <colItems count="18">
    <i>
      <x/>
    </i>
    <i>
      <x v="1"/>
    </i>
    <i>
      <x v="2"/>
    </i>
    <i>
      <x v="3"/>
    </i>
    <i>
      <x v="4"/>
    </i>
    <i>
      <x v="5"/>
    </i>
    <i>
      <x v="6"/>
    </i>
    <i>
      <x v="7"/>
    </i>
    <i>
      <x v="8"/>
    </i>
    <i>
      <x v="9"/>
    </i>
    <i>
      <x v="10"/>
    </i>
    <i>
      <x v="11"/>
    </i>
    <i>
      <x v="12"/>
    </i>
    <i>
      <x v="13"/>
    </i>
    <i>
      <x v="15"/>
    </i>
    <i>
      <x v="16"/>
    </i>
    <i>
      <x v="17"/>
    </i>
    <i t="grand">
      <x/>
    </i>
  </colItems>
  <pageFields count="1">
    <pageField fld="14" hier="-1"/>
  </pageFields>
  <dataFields count="1">
    <dataField name="Count of BMP Type " fld="2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C7696C-6AFD-409B-9F1A-7A11BE9CD66F}"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F13" firstHeaderRow="0" firstDataRow="1" firstDataCol="1" rowPageCount="1" colPageCount="1"/>
  <pivotFields count="7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0"/>
        <item x="1"/>
        <item x="5"/>
        <item x="2"/>
        <item x="4"/>
        <item x="3"/>
        <item t="default"/>
      </items>
    </pivotField>
    <pivotField showAll="0"/>
    <pivotField showAll="0"/>
    <pivotField showAll="0"/>
    <pivotField showAll="0"/>
    <pivotField showAll="0"/>
    <pivotField showAll="0"/>
    <pivotField axis="axisRow" showAll="0">
      <items count="9">
        <item x="7"/>
        <item x="1"/>
        <item x="0"/>
        <item x="4"/>
        <item x="3"/>
        <item x="2"/>
        <item x="6"/>
        <item x="5"/>
        <item t="default"/>
      </items>
    </pivotField>
    <pivotField showAll="0"/>
    <pivotField showAll="0"/>
    <pivotField dataField="1"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dataField="1" numFmtId="2" showAll="0"/>
    <pivotField showAll="0"/>
    <pivotField showAll="0"/>
    <pivotField showAll="0"/>
    <pivotField showAll="0"/>
    <pivotField showAll="0"/>
    <pivotField showAll="0"/>
    <pivotField showAll="0"/>
    <pivotField showAll="0"/>
    <pivotField numFmtId="9"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1"/>
  </rowFields>
  <rowItems count="9">
    <i>
      <x/>
    </i>
    <i>
      <x v="1"/>
    </i>
    <i>
      <x v="2"/>
    </i>
    <i>
      <x v="3"/>
    </i>
    <i>
      <x v="4"/>
    </i>
    <i>
      <x v="5"/>
    </i>
    <i>
      <x v="6"/>
    </i>
    <i>
      <x v="7"/>
    </i>
    <i t="grand">
      <x/>
    </i>
  </rowItems>
  <colFields count="1">
    <field x="-2"/>
  </colFields>
  <colItems count="5">
    <i>
      <x/>
    </i>
    <i i="1">
      <x v="1"/>
    </i>
    <i i="2">
      <x v="2"/>
    </i>
    <i i="3">
      <x v="3"/>
    </i>
    <i i="4">
      <x v="4"/>
    </i>
  </colItems>
  <pageFields count="1">
    <pageField fld="14" hier="-1"/>
  </pageFields>
  <dataFields count="5">
    <dataField name="Sum of Impervious area  (acres)" fld="24" baseField="0" baseItem="0"/>
    <dataField name="Sum of Total Pervious area (acres)" fld="31" baseField="0" baseItem="0"/>
    <dataField name="Sum of * Load Before Treatment (kg/yr)" fld="43" baseField="0" baseItem="0"/>
    <dataField name="Sum of Storage volume (ft3)" fld="39" baseField="0" baseItem="0" numFmtId="3"/>
    <dataField name="Sum of *P Credit (kg/yr)" fld="53" baseField="20" baseItem="0" numFmtId="2"/>
  </dataFields>
  <formats count="5">
    <format dxfId="23">
      <pivotArea dataOnly="0" outline="0" fieldPosition="0">
        <references count="1">
          <reference field="4294967294" count="1">
            <x v="0"/>
          </reference>
        </references>
      </pivotArea>
    </format>
    <format dxfId="22">
      <pivotArea dataOnly="0" labelOnly="1" outline="0" fieldPosition="0">
        <references count="1">
          <reference field="4294967294" count="4">
            <x v="1"/>
            <x v="2"/>
            <x v="3"/>
            <x v="4"/>
          </reference>
        </references>
      </pivotArea>
    </format>
    <format dxfId="21">
      <pivotArea outline="0" collapsedLevelsAreSubtotals="1" fieldPosition="0"/>
    </format>
    <format dxfId="20">
      <pivotArea outline="0" collapsedLevelsAreSubtotals="1" fieldPosition="0">
        <references count="1">
          <reference field="4294967294" count="1" selected="0">
            <x v="3"/>
          </reference>
        </references>
      </pivotArea>
    </format>
    <format dxfId="19">
      <pivotArea outline="0" collapsedLevelsAreSubtotals="1" fieldPosition="0">
        <references count="1">
          <reference field="4294967294" count="1" selected="0">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0369B30-542E-4451-98FA-46CC254E6329}" name="PivotTable3"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A17:I35" firstHeaderRow="1" firstDataRow="2" firstDataCol="1" rowPageCount="1" colPageCount="1"/>
  <pivotFields count="7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0"/>
        <item x="1"/>
        <item x="5"/>
        <item x="2"/>
        <item x="4"/>
        <item x="3"/>
        <item t="default"/>
      </items>
    </pivotField>
    <pivotField showAll="0"/>
    <pivotField showAll="0"/>
    <pivotField showAll="0"/>
    <pivotField showAll="0"/>
    <pivotField showAll="0"/>
    <pivotField axis="axisCol" showAll="0">
      <items count="12">
        <item h="1" x="10"/>
        <item x="5"/>
        <item x="0"/>
        <item x="4"/>
        <item x="3"/>
        <item x="6"/>
        <item x="2"/>
        <item x="1"/>
        <item h="1" x="9"/>
        <item h="1" x="8"/>
        <item h="1" x="7"/>
        <item t="default"/>
      </items>
    </pivotField>
    <pivotField showAll="0"/>
    <pivotField showAll="0"/>
    <pivotField axis="axisRow" dataField="1" showAll="0" sortType="ascending">
      <items count="19">
        <item x="15"/>
        <item x="14"/>
        <item x="3"/>
        <item x="6"/>
        <item x="13"/>
        <item x="1"/>
        <item x="4"/>
        <item x="12"/>
        <item x="9"/>
        <item x="5"/>
        <item x="2"/>
        <item x="8"/>
        <item x="11"/>
        <item m="1" x="17"/>
        <item x="10"/>
        <item x="0"/>
        <item x="7"/>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17">
    <i>
      <x/>
    </i>
    <i>
      <x v="1"/>
    </i>
    <i>
      <x v="2"/>
    </i>
    <i>
      <x v="3"/>
    </i>
    <i>
      <x v="4"/>
    </i>
    <i>
      <x v="5"/>
    </i>
    <i>
      <x v="6"/>
    </i>
    <i>
      <x v="7"/>
    </i>
    <i>
      <x v="8"/>
    </i>
    <i>
      <x v="9"/>
    </i>
    <i>
      <x v="10"/>
    </i>
    <i>
      <x v="11"/>
    </i>
    <i>
      <x v="12"/>
    </i>
    <i>
      <x v="14"/>
    </i>
    <i>
      <x v="15"/>
    </i>
    <i>
      <x v="16"/>
    </i>
    <i t="grand">
      <x/>
    </i>
  </rowItems>
  <colFields count="1">
    <field x="20"/>
  </colFields>
  <colItems count="8">
    <i>
      <x v="1"/>
    </i>
    <i>
      <x v="2"/>
    </i>
    <i>
      <x v="3"/>
    </i>
    <i>
      <x v="4"/>
    </i>
    <i>
      <x v="5"/>
    </i>
    <i>
      <x v="6"/>
    </i>
    <i>
      <x v="7"/>
    </i>
    <i t="grand">
      <x/>
    </i>
  </colItems>
  <pageFields count="1">
    <pageField fld="14" hier="-1"/>
  </pageFields>
  <dataFields count="1">
    <dataField name="Count of BMP Type " fld="23" subtotal="count" baseField="0" baseItem="0"/>
  </dataFields>
  <formats count="2">
    <format dxfId="25">
      <pivotArea dataOnly="0" labelOnly="1" fieldPosition="0">
        <references count="1">
          <reference field="20" count="7">
            <x v="1"/>
            <x v="2"/>
            <x v="3"/>
            <x v="4"/>
            <x v="5"/>
            <x v="6"/>
            <x v="7"/>
          </reference>
        </references>
      </pivotArea>
    </format>
    <format dxfId="2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391F176-D96F-4E70-AC3A-7B7F8668597B}" name="PivotTable3"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A17:I29" firstHeaderRow="1" firstDataRow="2" firstDataCol="1" rowPageCount="1" colPageCount="1"/>
  <pivotFields count="7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0"/>
        <item x="1"/>
        <item h="1" x="5"/>
        <item x="2"/>
        <item h="1" x="4"/>
        <item h="1" x="3"/>
        <item t="default"/>
      </items>
    </pivotField>
    <pivotField showAll="0"/>
    <pivotField showAll="0"/>
    <pivotField showAll="0"/>
    <pivotField showAll="0"/>
    <pivotField showAll="0"/>
    <pivotField showAll="0"/>
    <pivotField axis="axisCol" showAll="0">
      <items count="9">
        <item x="7"/>
        <item x="1"/>
        <item x="0"/>
        <item x="4"/>
        <item x="6"/>
        <item x="3"/>
        <item x="5"/>
        <item x="2"/>
        <item t="default"/>
      </items>
    </pivotField>
    <pivotField showAll="0"/>
    <pivotField axis="axisRow" dataField="1" showAll="0" sortType="ascending">
      <items count="19">
        <item x="15"/>
        <item x="14"/>
        <item x="3"/>
        <item x="6"/>
        <item x="13"/>
        <item x="1"/>
        <item x="4"/>
        <item x="12"/>
        <item x="9"/>
        <item x="5"/>
        <item x="2"/>
        <item x="8"/>
        <item x="11"/>
        <item m="1" x="17"/>
        <item x="10"/>
        <item x="0"/>
        <item x="7"/>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11">
    <i>
      <x/>
    </i>
    <i>
      <x v="2"/>
    </i>
    <i>
      <x v="3"/>
    </i>
    <i>
      <x v="4"/>
    </i>
    <i>
      <x v="5"/>
    </i>
    <i>
      <x v="6"/>
    </i>
    <i>
      <x v="8"/>
    </i>
    <i>
      <x v="9"/>
    </i>
    <i>
      <x v="11"/>
    </i>
    <i>
      <x v="12"/>
    </i>
    <i t="grand">
      <x/>
    </i>
  </rowItems>
  <colFields count="1">
    <field x="21"/>
  </colFields>
  <colItems count="8">
    <i>
      <x v="1"/>
    </i>
    <i>
      <x v="2"/>
    </i>
    <i>
      <x v="3"/>
    </i>
    <i>
      <x v="4"/>
    </i>
    <i>
      <x v="5"/>
    </i>
    <i>
      <x v="6"/>
    </i>
    <i>
      <x v="7"/>
    </i>
    <i t="grand">
      <x/>
    </i>
  </colItems>
  <pageFields count="1">
    <pageField fld="14" hier="-1"/>
  </pageFields>
  <dataFields count="1">
    <dataField name="Count of BMP Type " fld="23" subtotal="count" baseField="0" baseItem="0"/>
  </dataFields>
  <formats count="1">
    <format dxfId="1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83AAF33-2D7E-4A1F-9B94-27037312FE6F}"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7:L42" firstHeaderRow="1" firstDataRow="2" firstDataCol="1" rowPageCount="1" colPageCount="1"/>
  <pivotFields count="7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0"/>
        <item x="1"/>
        <item x="2"/>
        <item h="1" x="5"/>
        <item h="1" x="4"/>
        <item h="1" x="3"/>
        <item t="default"/>
      </items>
    </pivotField>
    <pivotField showAll="0"/>
    <pivotField showAll="0"/>
    <pivotField showAll="0"/>
    <pivotField showAll="0"/>
    <pivotField showAll="0"/>
    <pivotField showAll="0"/>
    <pivotField showAll="0"/>
    <pivotField showAll="0"/>
    <pivotField axis="axisCol" dataField="1" showAll="0">
      <items count="19">
        <item x="3"/>
        <item x="6"/>
        <item x="13"/>
        <item x="1"/>
        <item x="4"/>
        <item x="9"/>
        <item x="5"/>
        <item x="2"/>
        <item x="8"/>
        <item x="11"/>
        <item x="0"/>
        <item x="7"/>
        <item x="15"/>
        <item x="16"/>
        <item m="1" x="17"/>
        <item x="14"/>
        <item x="12"/>
        <item x="10"/>
        <item t="default"/>
      </items>
    </pivotField>
    <pivotField showAll="0"/>
    <pivotField axis="axisRow" showAll="0">
      <items count="7">
        <item x="3"/>
        <item x="0"/>
        <item x="2"/>
        <item x="4"/>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showAll="0"/>
    <pivotField showAll="0"/>
    <pivotField numFmtId="2"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4">
    <i>
      <x v="1"/>
    </i>
    <i>
      <x v="2"/>
    </i>
    <i>
      <x v="4"/>
    </i>
    <i t="grand">
      <x/>
    </i>
  </rowItems>
  <colFields count="1">
    <field x="23"/>
  </colFields>
  <colItems count="11">
    <i>
      <x/>
    </i>
    <i>
      <x v="1"/>
    </i>
    <i>
      <x v="2"/>
    </i>
    <i>
      <x v="3"/>
    </i>
    <i>
      <x v="4"/>
    </i>
    <i>
      <x v="5"/>
    </i>
    <i>
      <x v="6"/>
    </i>
    <i>
      <x v="8"/>
    </i>
    <i>
      <x v="9"/>
    </i>
    <i>
      <x v="12"/>
    </i>
    <i t="grand">
      <x/>
    </i>
  </colItems>
  <pageFields count="1">
    <pageField fld="14" hier="-1"/>
  </pageFields>
  <dataFields count="1">
    <dataField name="Count of BMP Type " fld="2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CFD9369-98AF-4810-9D69-9EB2C8C2495D}"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F12" firstHeaderRow="0" firstDataRow="1" firstDataCol="1" rowPageCount="1" colPageCount="1"/>
  <pivotFields count="7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0"/>
        <item x="1"/>
        <item h="1" x="5"/>
        <item x="2"/>
        <item x="4"/>
        <item h="1" x="3"/>
        <item t="default"/>
      </items>
    </pivotField>
    <pivotField showAll="0"/>
    <pivotField showAll="0"/>
    <pivotField showAll="0"/>
    <pivotField showAll="0"/>
    <pivotField showAll="0"/>
    <pivotField showAll="0"/>
    <pivotField axis="axisRow" showAll="0">
      <items count="9">
        <item x="7"/>
        <item x="1"/>
        <item x="0"/>
        <item x="4"/>
        <item x="3"/>
        <item x="2"/>
        <item x="6"/>
        <item x="5"/>
        <item t="default"/>
      </items>
    </pivotField>
    <pivotField showAll="0"/>
    <pivotField showAll="0"/>
    <pivotField dataField="1"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dataField="1" numFmtId="2" showAll="0"/>
    <pivotField showAll="0"/>
    <pivotField showAll="0"/>
    <pivotField showAll="0"/>
    <pivotField showAll="0"/>
    <pivotField showAll="0"/>
    <pivotField showAll="0"/>
    <pivotField showAll="0"/>
    <pivotField showAll="0"/>
    <pivotField numFmtId="9"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1"/>
  </rowFields>
  <rowItems count="8">
    <i>
      <x v="1"/>
    </i>
    <i>
      <x v="2"/>
    </i>
    <i>
      <x v="3"/>
    </i>
    <i>
      <x v="4"/>
    </i>
    <i>
      <x v="5"/>
    </i>
    <i>
      <x v="6"/>
    </i>
    <i>
      <x v="7"/>
    </i>
    <i t="grand">
      <x/>
    </i>
  </rowItems>
  <colFields count="1">
    <field x="-2"/>
  </colFields>
  <colItems count="5">
    <i>
      <x/>
    </i>
    <i i="1">
      <x v="1"/>
    </i>
    <i i="2">
      <x v="2"/>
    </i>
    <i i="3">
      <x v="3"/>
    </i>
    <i i="4">
      <x v="4"/>
    </i>
  </colItems>
  <pageFields count="1">
    <pageField fld="14" hier="-1"/>
  </pageFields>
  <dataFields count="5">
    <dataField name="Sum of Impervious area  (acres)" fld="24" baseField="0" baseItem="0"/>
    <dataField name="Sum of Total Pervious area (acres)" fld="31" baseField="0" baseItem="0"/>
    <dataField name="Sum of * Load Before Treatment (kg/yr)" fld="43" baseField="0" baseItem="0"/>
    <dataField name="Sum of Storage volume (ft3)" fld="39" baseField="0" baseItem="0" numFmtId="3"/>
    <dataField name="Sum of *P Credit (kg/yr)" fld="53" baseField="20" baseItem="0" numFmtId="2"/>
  </dataFields>
  <formats count="5">
    <format dxfId="18">
      <pivotArea dataOnly="0" outline="0" fieldPosition="0">
        <references count="1">
          <reference field="4294967294" count="1">
            <x v="0"/>
          </reference>
        </references>
      </pivotArea>
    </format>
    <format dxfId="17">
      <pivotArea dataOnly="0" labelOnly="1" outline="0" fieldPosition="0">
        <references count="1">
          <reference field="4294967294" count="4">
            <x v="1"/>
            <x v="2"/>
            <x v="3"/>
            <x v="4"/>
          </reference>
        </references>
      </pivotArea>
    </format>
    <format dxfId="16">
      <pivotArea outline="0" collapsedLevelsAreSubtotals="1" fieldPosition="0"/>
    </format>
    <format dxfId="15">
      <pivotArea outline="0" collapsedLevelsAreSubtotals="1" fieldPosition="0">
        <references count="1">
          <reference field="4294967294" count="1" selected="0">
            <x v="3"/>
          </reference>
        </references>
      </pivotArea>
    </format>
    <format dxfId="14">
      <pivotArea outline="0" collapsedLevelsAreSubtotals="1" fieldPosition="0">
        <references count="1">
          <reference field="4294967294" count="1" selected="0">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F4B0333-A0FC-4D04-8B17-62A034B0FE9B}"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F9" firstHeaderRow="0" firstDataRow="1" firstDataCol="1" rowPageCount="2" colPageCount="1"/>
  <pivotFields count="7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0"/>
        <item x="1"/>
        <item x="5"/>
        <item x="2"/>
        <item x="4"/>
        <item x="3"/>
        <item t="default"/>
      </items>
    </pivotField>
    <pivotField showAll="0"/>
    <pivotField axis="axisPage" multipleItemSelectionAllowed="1" showAll="0">
      <items count="17">
        <item h="1" x="0"/>
        <item h="1" x="1"/>
        <item h="1" x="2"/>
        <item h="1" x="3"/>
        <item h="1" x="4"/>
        <item h="1" x="5"/>
        <item h="1" x="6"/>
        <item h="1" x="7"/>
        <item h="1" x="8"/>
        <item h="1" x="9"/>
        <item h="1" x="10"/>
        <item h="1" x="14"/>
        <item h="1" x="15"/>
        <item h="1" x="11"/>
        <item h="1" x="12"/>
        <item x="13"/>
        <item t="default"/>
      </items>
    </pivotField>
    <pivotField showAll="0"/>
    <pivotField showAll="0"/>
    <pivotField showAll="0"/>
    <pivotField axis="axisRow" showAll="0">
      <items count="12">
        <item x="3"/>
        <item x="10"/>
        <item x="5"/>
        <item x="7"/>
        <item x="0"/>
        <item x="9"/>
        <item x="4"/>
        <item x="8"/>
        <item x="6"/>
        <item x="2"/>
        <item x="1"/>
        <item t="default"/>
      </items>
    </pivotField>
    <pivotField showAll="0"/>
    <pivotField showAll="0"/>
    <pivotField showAll="0"/>
    <pivotField dataField="1"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dataField="1" numFmtId="2" showAll="0"/>
    <pivotField showAll="0"/>
    <pivotField showAll="0"/>
    <pivotField showAll="0"/>
    <pivotField showAll="0"/>
    <pivotField showAll="0"/>
    <pivotField showAll="0"/>
    <pivotField showAll="0"/>
    <pivotField showAll="0"/>
    <pivotField numFmtId="9"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0"/>
  </rowFields>
  <rowItems count="5">
    <i>
      <x v="6"/>
    </i>
    <i>
      <x v="7"/>
    </i>
    <i>
      <x v="9"/>
    </i>
    <i>
      <x v="10"/>
    </i>
    <i t="grand">
      <x/>
    </i>
  </rowItems>
  <colFields count="1">
    <field x="-2"/>
  </colFields>
  <colItems count="5">
    <i>
      <x/>
    </i>
    <i i="1">
      <x v="1"/>
    </i>
    <i i="2">
      <x v="2"/>
    </i>
    <i i="3">
      <x v="3"/>
    </i>
    <i i="4">
      <x v="4"/>
    </i>
  </colItems>
  <pageFields count="2">
    <pageField fld="14" item="0" hier="-1"/>
    <pageField fld="16" hier="-1"/>
  </pageFields>
  <dataFields count="5">
    <dataField name="Sum of Impervious area  (acres)" fld="24" baseField="0" baseItem="0"/>
    <dataField name="Sum of Total Pervious area (acres)" fld="31" baseField="0" baseItem="0"/>
    <dataField name="Sum of * Load Before Treatment (kg/yr)" fld="43" baseField="0" baseItem="0"/>
    <dataField name="Sum of Storage volume (ft3)" fld="39" baseField="0" baseItem="0" numFmtId="3"/>
    <dataField name="Sum of *P Credit (kg/yr)" fld="53" baseField="20" baseItem="0" numFmtId="2"/>
  </dataFields>
  <formats count="7">
    <format dxfId="11">
      <pivotArea dataOnly="0" outline="0" fieldPosition="0">
        <references count="1">
          <reference field="4294967294" count="1">
            <x v="0"/>
          </reference>
        </references>
      </pivotArea>
    </format>
    <format dxfId="10">
      <pivotArea dataOnly="0" labelOnly="1" outline="0" fieldPosition="0">
        <references count="1">
          <reference field="4294967294" count="4">
            <x v="1"/>
            <x v="2"/>
            <x v="3"/>
            <x v="4"/>
          </reference>
        </references>
      </pivotArea>
    </format>
    <format dxfId="9">
      <pivotArea outline="0" collapsedLevelsAreSubtotals="1" fieldPosition="0"/>
    </format>
    <format dxfId="8">
      <pivotArea outline="0" collapsedLevelsAreSubtotals="1" fieldPosition="0">
        <references count="1">
          <reference field="4294967294" count="1" selected="0">
            <x v="3"/>
          </reference>
        </references>
      </pivotArea>
    </format>
    <format dxfId="7">
      <pivotArea outline="0" collapsedLevelsAreSubtotals="1" fieldPosition="0">
        <references count="1">
          <reference field="4294967294" count="1" selected="0">
            <x v="4"/>
          </reference>
        </references>
      </pivotArea>
    </format>
    <format dxfId="6">
      <pivotArea collapsedLevelsAreSubtotals="1" fieldPosition="0">
        <references count="2">
          <reference field="4294967294" count="1" selected="0">
            <x v="4"/>
          </reference>
          <reference field="20" count="1">
            <x v="6"/>
          </reference>
        </references>
      </pivotArea>
    </format>
    <format dxfId="5">
      <pivotArea collapsedLevelsAreSubtotals="1" fieldPosition="0">
        <references count="2">
          <reference field="4294967294" count="1" selected="0">
            <x v="4"/>
          </reference>
          <reference field="20"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779A840-1E25-4118-974D-7627CF46AF9B}"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7:P54" firstHeaderRow="1" firstDataRow="2" firstDataCol="1" rowPageCount="1" colPageCount="1"/>
  <pivotFields count="7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0"/>
        <item x="1"/>
        <item x="2"/>
        <item x="5"/>
        <item x="4"/>
        <item x="3"/>
        <item t="default"/>
      </items>
    </pivotField>
    <pivotField showAll="0"/>
    <pivotField showAll="0"/>
    <pivotField showAll="0"/>
    <pivotField showAll="0"/>
    <pivotField showAll="0"/>
    <pivotField showAll="0"/>
    <pivotField showAll="0"/>
    <pivotField showAll="0"/>
    <pivotField axis="axisCol" dataField="1" showAll="0">
      <items count="19">
        <item x="3"/>
        <item x="6"/>
        <item x="13"/>
        <item x="1"/>
        <item x="4"/>
        <item x="9"/>
        <item x="5"/>
        <item x="2"/>
        <item x="8"/>
        <item x="11"/>
        <item x="0"/>
        <item x="7"/>
        <item x="15"/>
        <item x="16"/>
        <item m="1" x="17"/>
        <item x="14"/>
        <item x="12"/>
        <item x="10"/>
        <item t="default"/>
      </items>
    </pivotField>
    <pivotField showAll="0"/>
    <pivotField axis="axisRow" showAll="0">
      <items count="7">
        <item x="3"/>
        <item x="0"/>
        <item x="2"/>
        <item x="4"/>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showAll="0"/>
    <pivotField showAll="0"/>
    <pivotField numFmtId="2"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6">
    <i>
      <x/>
    </i>
    <i>
      <x v="1"/>
    </i>
    <i>
      <x v="2"/>
    </i>
    <i>
      <x v="3"/>
    </i>
    <i>
      <x v="4"/>
    </i>
    <i t="grand">
      <x/>
    </i>
  </rowItems>
  <colFields count="1">
    <field x="23"/>
  </colFields>
  <colItems count="15">
    <i>
      <x/>
    </i>
    <i>
      <x v="1"/>
    </i>
    <i>
      <x v="2"/>
    </i>
    <i>
      <x v="3"/>
    </i>
    <i>
      <x v="4"/>
    </i>
    <i>
      <x v="5"/>
    </i>
    <i>
      <x v="6"/>
    </i>
    <i>
      <x v="7"/>
    </i>
    <i>
      <x v="8"/>
    </i>
    <i>
      <x v="9"/>
    </i>
    <i>
      <x v="10"/>
    </i>
    <i>
      <x v="11"/>
    </i>
    <i>
      <x v="16"/>
    </i>
    <i>
      <x v="17"/>
    </i>
    <i t="grand">
      <x/>
    </i>
  </colItems>
  <pageFields count="1">
    <pageField fld="14" item="0" hier="-1"/>
  </pageFields>
  <dataFields count="1">
    <dataField name="Count of BMP Type " fld="2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408ECB0-90E3-43A7-B93D-2DBECDF50F57}" name="PivotTable3"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A26:I42" firstHeaderRow="1" firstDataRow="2" firstDataCol="1" rowPageCount="1" colPageCount="1"/>
  <pivotFields count="7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0"/>
        <item x="1"/>
        <item x="5"/>
        <item x="2"/>
        <item x="4"/>
        <item x="3"/>
        <item t="default"/>
      </items>
    </pivotField>
    <pivotField showAll="0"/>
    <pivotField showAll="0"/>
    <pivotField showAll="0"/>
    <pivotField showAll="0"/>
    <pivotField showAll="0"/>
    <pivotField showAll="0"/>
    <pivotField axis="axisCol" showAll="0">
      <items count="9">
        <item x="7"/>
        <item x="1"/>
        <item x="0"/>
        <item x="4"/>
        <item x="6"/>
        <item x="3"/>
        <item x="5"/>
        <item x="2"/>
        <item t="default"/>
      </items>
    </pivotField>
    <pivotField showAll="0"/>
    <pivotField axis="axisRow" dataField="1" showAll="0" sortType="ascending">
      <items count="19">
        <item x="15"/>
        <item x="14"/>
        <item x="3"/>
        <item x="6"/>
        <item x="13"/>
        <item x="1"/>
        <item x="4"/>
        <item x="12"/>
        <item x="9"/>
        <item x="5"/>
        <item x="2"/>
        <item x="8"/>
        <item x="11"/>
        <item m="1" x="17"/>
        <item x="10"/>
        <item x="0"/>
        <item x="7"/>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15">
    <i>
      <x v="2"/>
    </i>
    <i>
      <x v="3"/>
    </i>
    <i>
      <x v="4"/>
    </i>
    <i>
      <x v="5"/>
    </i>
    <i>
      <x v="6"/>
    </i>
    <i>
      <x v="7"/>
    </i>
    <i>
      <x v="8"/>
    </i>
    <i>
      <x v="9"/>
    </i>
    <i>
      <x v="10"/>
    </i>
    <i>
      <x v="11"/>
    </i>
    <i>
      <x v="12"/>
    </i>
    <i>
      <x v="14"/>
    </i>
    <i>
      <x v="15"/>
    </i>
    <i>
      <x v="16"/>
    </i>
    <i t="grand">
      <x/>
    </i>
  </rowItems>
  <colFields count="1">
    <field x="21"/>
  </colFields>
  <colItems count="8">
    <i>
      <x v="1"/>
    </i>
    <i>
      <x v="2"/>
    </i>
    <i>
      <x v="3"/>
    </i>
    <i>
      <x v="4"/>
    </i>
    <i>
      <x v="5"/>
    </i>
    <i>
      <x v="6"/>
    </i>
    <i>
      <x v="7"/>
    </i>
    <i t="grand">
      <x/>
    </i>
  </colItems>
  <pageFields count="1">
    <pageField fld="14" item="0" hier="-1"/>
  </pageFields>
  <dataFields count="1">
    <dataField name="Count of BMP Type " fld="23" subtotal="count" baseField="0" baseItem="0"/>
  </dataFields>
  <formats count="1">
    <format dxfId="1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T439" totalsRowShown="0" headerRowDxfId="98">
  <autoFilter ref="A2:BT439" xr:uid="{4249AFC0-B45F-4BAE-9E36-FFFDAB79EC5A}"/>
  <sortState xmlns:xlrd2="http://schemas.microsoft.com/office/spreadsheetml/2017/richdata2" ref="A3:BT439">
    <sortCondition ref="B2:B439"/>
  </sortState>
  <tableColumns count="72">
    <tableColumn id="1" xr3:uid="{00000000-0010-0000-0000-000001000000}" name="Unique ID " dataDxfId="97"/>
    <tableColumn id="2" xr3:uid="{00000000-0010-0000-0000-000002000000}" name="Project Name" dataDxfId="96"/>
    <tableColumn id="18" xr3:uid="{00000000-0010-0000-0000-000012000000}" name="Land Owner" dataDxfId="95"/>
    <tableColumn id="3" xr3:uid="{00000000-0010-0000-0000-000003000000}" name="Responsible Party " dataDxfId="94"/>
    <tableColumn id="5" xr3:uid="{00000000-0010-0000-0000-000005000000}" name="Latitude (decimal degrees)" dataDxfId="93"/>
    <tableColumn id="6" xr3:uid="{00000000-0010-0000-0000-000006000000}" name="Longitude (decimal degrees)" dataDxfId="92"/>
    <tableColumn id="58" xr3:uid="{F7F944FD-0EAE-4195-8BD2-1CB4E882EB53}" name="New Impervious (acres)" dataDxfId="91"/>
    <tableColumn id="57" xr3:uid="{F250F037-233D-4B02-8C3B-FD5AA3BD954D}" name="Redeveloped Impervious (acres)" dataDxfId="90"/>
    <tableColumn id="56" xr3:uid="{52C8D2AA-BD80-4363-B81E-FDBB896581DC}" name="Drainage area (acres)" dataDxfId="89"/>
    <tableColumn id="11" xr3:uid="{00000000-0010-0000-0000-00000B000000}" name="Existing SW permit number (if applicable)" dataDxfId="88"/>
    <tableColumn id="55" xr3:uid="{59B5C123-8B77-4E2F-AEB6-F66B6966AA67}" name="S/N" dataDxfId="87"/>
    <tableColumn id="30" xr3:uid="{487C484C-7B39-46BB-B953-5796E3FB78AF}" name="Watershed Projects Database ID (if known)" dataDxfId="86"/>
    <tableColumn id="13" xr3:uid="{EED0ECC9-7C91-44F9-BCF7-CEE525503E5C}" name="Part of MS4/ Incorporated into MS4" dataDxfId="85"/>
    <tableColumn id="21" xr3:uid="{00000000-0010-0000-0000-000015000000}" name="Cost Estimate (optional)" dataDxfId="84"/>
    <tableColumn id="14" xr3:uid="{00000000-0010-0000-0000-00000E000000}" name="BMP Status " dataDxfId="83"/>
    <tableColumn id="19" xr3:uid="{00000000-0010-0000-0000-000013000000}" name="Year Planned Construction" dataDxfId="82"/>
    <tableColumn id="15" xr3:uid="{00000000-0010-0000-0000-00000F000000}" name="Date Constructed" dataDxfId="81"/>
    <tableColumn id="16" xr3:uid="{00000000-0010-0000-0000-000010000000}" name="Date of last inspection" dataDxfId="80"/>
    <tableColumn id="20" xr3:uid="{00000000-0010-0000-0000-000014000000}" name="Maintenance needed?" dataDxfId="79"/>
    <tableColumn id="4" xr3:uid="{00000000-0010-0000-0000-000004000000}" name="Applicable FRP" dataDxfId="78"/>
    <tableColumn id="12" xr3:uid="{F10D8DCB-C6B6-45EE-8BAA-5D47E0059DF5}" name="LC TMDL Drainage Area" dataDxfId="77">
      <calculatedColumnFormula>IFERROR(VLOOKUP(Table1[[#This Row],[Applicable FRP]],Dropdowns!$C$2:$E$15,3,FALSE),"")</calculatedColumnFormula>
    </tableColumn>
    <tableColumn id="26" xr3:uid="{0004ADF2-15ED-4C3A-863D-D4681A0FAA46}" name="LC TMDL Lake Segment" dataDxfId="76">
      <calculatedColumnFormula>IFERROR(VLOOKUP(Table1[[#This Row],[LC TMDL Drainage Area]],Dropdowns!$P$3:$Q$23,2,FALSE),"")</calculatedColumnFormula>
    </tableColumn>
    <tableColumn id="37" xr3:uid="{9B4D4D69-DC2F-49FE-A639-2F16425E6553}" name="Eligible for Phosphorus Credit?" dataDxfId="75"/>
    <tableColumn id="7" xr3:uid="{00000000-0010-0000-0000-000007000000}" name="BMP Type " dataDxfId="74"/>
    <tableColumn id="22" xr3:uid="{00000000-0010-0000-0000-000016000000}" name="Impervious area  (acres)" dataDxfId="73"/>
    <tableColumn id="60" xr3:uid="{E9C69AC0-7105-41C4-B0ED-35AB2C03E07D}" name="Impervious land use" dataDxfId="72"/>
    <tableColumn id="54" xr3:uid="{26748522-75D2-456F-9BCB-707381B69534}" name="Pervious Entry Method" dataDxfId="71"/>
    <tableColumn id="27" xr3:uid="{991AEDC6-91CB-4AE5-AB01-570542FAF3EC}" name="Pervious HSG A" dataDxfId="70"/>
    <tableColumn id="28" xr3:uid="{A34FCEE5-FA99-4CF6-9DB2-903CF099A613}" name="Pervious HSG B" dataDxfId="69"/>
    <tableColumn id="33" xr3:uid="{89637261-3766-4808-A210-05BF2E388E18}" name="Pervious HSG C" dataDxfId="68"/>
    <tableColumn id="35" xr3:uid="{8E0FE6CD-2DD9-4EBB-BE3C-0DE04CB82A5F}" name="Pervious HSG D " dataDxfId="67"/>
    <tableColumn id="23" xr3:uid="{00000000-0010-0000-0000-000017000000}" name="Total Pervious area (acres)" dataDxfId="66"/>
    <tableColumn id="61" xr3:uid="{DF565109-0EA6-43F9-A75C-A1A11DD5DC41}" name="Pervious Land Use" dataDxfId="65"/>
    <tableColumn id="67" xr3:uid="{DA626823-9DE0-4DA6-8111-07CAF5930F73}" name="Bottom Width (ft)" dataDxfId="64"/>
    <tableColumn id="66" xr3:uid="{823FE94C-84F8-4537-AE8D-29AD320D6658}" name="Average Depth at Peak Storage (ft)" dataDxfId="63"/>
    <tableColumn id="65" xr3:uid="{6F2B9CA9-4E40-4B06-A085-4FAF6A03254B}" name="Side Slope (ft/ft)" dataDxfId="62"/>
    <tableColumn id="64" xr3:uid="{33002167-0137-4C28-A88F-84F96040A58C}" name="Length Provided (ft)" dataDxfId="61"/>
    <tableColumn id="63" xr3:uid="{F3A5629B-57D4-4AB8-A8FB-7CFE2143B42B}" name="Min Length Required (ft)" dataDxfId="60"/>
    <tableColumn id="62" xr3:uid="{57966725-0B66-485B-A0C6-4240E1A3B5A5}" name="Manually entered practice effiency " dataDxfId="59"/>
    <tableColumn id="8" xr3:uid="{00000000-0010-0000-0000-000008000000}" name="Storage volume (ft3)" dataDxfId="58" dataCellStyle="Comma"/>
    <tableColumn id="9" xr3:uid="{00000000-0010-0000-0000-000009000000}" name="Infiltration rate (in/hr)" dataDxfId="57"/>
    <tableColumn id="71" xr3:uid="{51B926D1-112F-4F5A-B861-5235A6BD2B2D}" name="Drainage Area Dominant Underlying HSG" dataDxfId="56"/>
    <tableColumn id="70" xr3:uid="{4AF1BE1A-E42B-422F-9C1C-95B2910F98D7}" name="BMP Underlying HSG" dataDxfId="55"/>
    <tableColumn id="47" xr3:uid="{778AFE82-7D95-445A-9FFF-C3FE01525A49}" name="* Load Before Treatment (kg/yr)" dataDxfId="54">
      <calculatedColumnFormula>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calculatedColumnFormula>
    </tableColumn>
    <tableColumn id="25" xr3:uid="{0900F82D-84ED-4DC7-B0AB-FEA3A082B46C}" name="* Storage Depth (inches)" dataDxfId="53">
      <calculatedColumnFormula>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calculatedColumnFormula>
    </tableColumn>
    <tableColumn id="48" xr3:uid="{6C56815E-D576-46F5-BD61-D03AB81CACA7}" name="Upper Efficiency - Lower Efficiency" dataDxfId="52">
      <calculatedColumnFormula>(VLOOKUP(Table1[[#This Row],[BMP Type ]],'Performance Curves'!A1:L44,MATCH(Table1[[#This Row],[* Storage Depth (inches)]],'Performance Curves'!$E$1:$L$1,1)+3)-VLOOKUP(Table1[[#This Row],[BMP Type ]],'Performance Curves'!A1:L44,MATCH(Table1[[#This Row],[* Storage Depth (inches)]],'Performance Curves'!$E$1:$L$1,1)+1))</calculatedColumnFormula>
    </tableColumn>
    <tableColumn id="36" xr3:uid="{36D3B49F-3DDF-4B79-80E5-08ABBEC1C3F4}" name="Percent of Storage Depth Step" dataDxfId="51">
      <calculatedColumnFormula>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calculatedColumnFormula>
    </tableColumn>
    <tableColumn id="44" xr3:uid="{67B83197-613E-4D55-8C02-35E1A298A194}" name="* Practice Efficiency" dataDxfId="50">
      <calculatedColumnFormula>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calculatedColumnFormula>
    </tableColumn>
    <tableColumn id="49" xr3:uid="{C478CEE1-5CBE-45B7-B533-07B38839C721}" name="* P Reduction (kg/year)" dataDxfId="49">
      <calculatedColumnFormula>IFERROR(Table1[[#This Row],[* Practice Efficiency]]*Table1[[#This Row],[* Load Before Treatment (kg/yr)]],"")</calculatedColumnFormula>
    </tableColumn>
    <tableColumn id="72" xr3:uid="{DEF80D4A-0039-44DC-AFEA-9A9C17E7D1CC}" name="Manual P Reduction (kg/yr)" dataDxfId="48">
      <calculatedColumnFormula>Table1[[#This Row],[Manually entered practice effiency ]]*Table1[[#This Row],[* Load Before Treatment (kg/yr)]]</calculatedColumnFormula>
    </tableColumn>
    <tableColumn id="10" xr3:uid="{00000000-0010-0000-0000-00000A000000}" name="Is this an upgrade to an existing BMP?" dataDxfId="47"/>
    <tableColumn id="45" xr3:uid="{24EBD199-F16E-4B1C-8CB6-CF4D45C7D133}" name="Has the upgrade changed the drainage area?" dataDxfId="46"/>
    <tableColumn id="73" xr3:uid="{9B9D621A-91A3-4CFE-91F5-A0C6B1187163}" name="% Credit to TS4" dataDxfId="45"/>
    <tableColumn id="52" xr3:uid="{A655C0CD-E4EE-4352-9175-8FE0496ADB0D}" name="*P Credit (kg/yr)" dataDxfId="44">
      <calculatedColumnFormula>IFERROR(IF(Table1[[#This Row],[Manual P Reduction (kg/yr)]]&gt;0,Table1[[#This Row],[Manual P Reduction (kg/yr)]],IF(Table1[[#This Row],[Is this an upgrade to an existing BMP?]]="Yes",Table1[[#This Row],[* P Reduction (kg/year)]]-Table1[[#This Row],[* Estimated P removal of Prior Practice (kg/yr)]],Table1[[#This Row],[* P Reduction (kg/year)]])),"Enter Info -&gt;")</calculatedColumnFormula>
    </tableColumn>
    <tableColumn id="43" xr3:uid="{5E79605D-2690-404A-9695-77E3EA39B802}" name="Prior Impervious area (acres)" dataDxfId="43"/>
    <tableColumn id="53" xr3:uid="{DC3E73D6-5EEE-4C3D-B52A-AFE3895038DF}" name="Pervious Entry Method 2" dataDxfId="42"/>
    <tableColumn id="42" xr3:uid="{235FEA1E-6A5D-45C7-B3FB-1B8DB4E044D8}" name=" HSG A " dataDxfId="41"/>
    <tableColumn id="41" xr3:uid="{10FEDC3F-F9A0-4492-BCA5-64D930B16526}" name=" HSG B" dataDxfId="40"/>
    <tableColumn id="40" xr3:uid="{46B753A3-028B-4D0E-9C3B-706A4DD52D38}" name="HSG C" dataDxfId="39"/>
    <tableColumn id="39" xr3:uid="{930D85A8-1199-43FB-97CB-03CA543E9EB9}" name="HSG D" dataDxfId="38"/>
    <tableColumn id="38" xr3:uid="{96C31A74-0B72-4D2B-B97F-D697BB2F38B1}" name="Total Pervious Area " dataDxfId="37"/>
    <tableColumn id="34" xr3:uid="{F00C372E-E61F-4A25-8B4A-EC61BC7771A9}" name="BMP type prior to upgrade" dataDxfId="36"/>
    <tableColumn id="17" xr3:uid="{00000000-0010-0000-0000-000011000000}" name="Previous storage volume (ft3)" dataDxfId="35"/>
    <tableColumn id="29" xr3:uid="{24405866-3F50-4858-91AD-A0FD3E2F23EF}" name="Infiltration rate prior to upgrade (in/hr)" dataDxfId="34"/>
    <tableColumn id="31" xr3:uid="{25D6E24D-CE1F-4633-BA74-01577AD3F6B8}" name="* Prior Load Before Treatment (kg/year)" dataDxfId="33">
      <calculatedColumnFormula>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calculatedColumnFormula>
    </tableColumn>
    <tableColumn id="32" xr3:uid="{7A3ED5E7-8052-44FC-9D29-79ABECE7679F}" name="* Prior Storage Depth (inches)" dataDxfId="32">
      <calculatedColumnFormula>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calculatedColumnFormula>
    </tableColumn>
    <tableColumn id="46" xr3:uid="{8AC5D32D-02B9-419D-9454-6A3BA1010F27}" name="Upper Efficiency - Lower Efficiency4" dataDxfId="31">
      <calculatedColumnFormula>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calculatedColumnFormula>
    </tableColumn>
    <tableColumn id="50" xr3:uid="{D5C3C3A9-CD18-4401-B60B-F3B6FBBB651A}" name="Percent of Storage Depth Step5" dataDxfId="30">
      <calculatedColumnFormula>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calculatedColumnFormula>
    </tableColumn>
    <tableColumn id="51" xr3:uid="{31818285-CFA9-40FA-8682-54681CFDF377}" name="* Prior Practice Efficiency" dataDxfId="29">
      <calculatedColumnFormula>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calculatedColumnFormula>
    </tableColumn>
    <tableColumn id="24" xr3:uid="{7125A9FA-1926-4915-A1A4-9E6590913300}" name="* Estimated P removal of Prior Practice (kg/yr)" dataDxfId="28">
      <calculatedColumnFormula>IFERROR(Table1[[#This Row],[* Prior Practice Efficiency]]*Table1[[#This Row],[* Prior Load Before Treatment (kg/year)]],"")</calculatedColumnFormula>
    </tableColumn>
    <tableColumn id="75" xr3:uid="{84F6E121-F8AE-427E-81CA-C640A44EA0EA}" name="Manual P Reduction - Prior Practice (kg/yr)" dataDxfId="27"/>
    <tableColumn id="59" xr3:uid="{C17C0D6C-0AD9-4AD9-B19B-0455B0D38A1E}" name="Notes and Assumptions" dataDxfId="26"/>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J1" personId="{4A49E12C-A513-44CD-92BE-3598AD10BF9D}" id="{2609BA05-D939-4DFB-BE51-E0E5A786FEEA}">
    <text xml:space="preserve">If the BMP has been upgraded multiple times, specifications entered in this section should be the last configuration that is not eligible for credit under the phosphorus control plan. 
</text>
  </threadedComment>
  <threadedComment ref="X283" dT="2025-01-13T20:14:38.06" personId="{B6FE8957-92F5-4AF5-8A79-475001769D0B}" id="{044B65BD-65FC-4BC6-ADDE-F22F44A78EAF}">
    <text>What to use for Media Filter Drain?</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nrmaps.vermont.gov/websites/anra5/" TargetMode="External"/><Relationship Id="rId1" Type="http://schemas.openxmlformats.org/officeDocument/2006/relationships/hyperlink" Target="mailto:emily.schelley@vermont.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4"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D383B-5AE4-4FE3-B239-97C2C5420DD6}">
  <dimension ref="A1:A87"/>
  <sheetViews>
    <sheetView workbookViewId="0">
      <selection activeCell="A15" sqref="A15"/>
    </sheetView>
  </sheetViews>
  <sheetFormatPr defaultRowHeight="14.4"/>
  <cols>
    <col min="1" max="1" width="102.5546875" customWidth="1"/>
  </cols>
  <sheetData>
    <row r="1" spans="1:1" ht="18">
      <c r="A1" s="116" t="s">
        <v>0</v>
      </c>
    </row>
    <row r="2" spans="1:1" ht="15.6">
      <c r="A2" s="117" t="s">
        <v>1</v>
      </c>
    </row>
    <row r="3" spans="1:1">
      <c r="A3" s="118"/>
    </row>
    <row r="4" spans="1:1">
      <c r="A4" s="119" t="s">
        <v>2</v>
      </c>
    </row>
    <row r="5" spans="1:1" ht="34.5" customHeight="1">
      <c r="A5" s="120" t="s">
        <v>3</v>
      </c>
    </row>
    <row r="6" spans="1:1" ht="41.25" customHeight="1">
      <c r="A6" s="120" t="s">
        <v>4</v>
      </c>
    </row>
    <row r="7" spans="1:1" ht="51" customHeight="1">
      <c r="A7" s="119" t="s">
        <v>5</v>
      </c>
    </row>
    <row r="8" spans="1:1">
      <c r="A8" s="118"/>
    </row>
    <row r="9" spans="1:1">
      <c r="A9" s="118"/>
    </row>
    <row r="10" spans="1:1">
      <c r="A10" s="118"/>
    </row>
    <row r="11" spans="1:1">
      <c r="A11" s="118" t="s">
        <v>6</v>
      </c>
    </row>
    <row r="12" spans="1:1" ht="66.75" customHeight="1">
      <c r="A12" s="121" t="s">
        <v>7</v>
      </c>
    </row>
    <row r="13" spans="1:1" ht="22.5" customHeight="1">
      <c r="A13" s="122" t="s">
        <v>8</v>
      </c>
    </row>
    <row r="14" spans="1:1" ht="29.25" customHeight="1">
      <c r="A14" s="121" t="s">
        <v>9</v>
      </c>
    </row>
    <row r="15" spans="1:1">
      <c r="A15" s="123" t="s">
        <v>10</v>
      </c>
    </row>
    <row r="16" spans="1:1">
      <c r="A16" s="124"/>
    </row>
    <row r="17" spans="1:1" ht="15.6">
      <c r="A17" s="125" t="s">
        <v>11</v>
      </c>
    </row>
    <row r="18" spans="1:1" ht="18.75" customHeight="1">
      <c r="A18" s="126" t="s">
        <v>12</v>
      </c>
    </row>
    <row r="19" spans="1:1" ht="18.75" customHeight="1">
      <c r="A19" s="127" t="s">
        <v>13</v>
      </c>
    </row>
    <row r="20" spans="1:1">
      <c r="A20" s="124"/>
    </row>
    <row r="21" spans="1:1" ht="15.6">
      <c r="A21" s="128" t="s">
        <v>14</v>
      </c>
    </row>
    <row r="22" spans="1:1" ht="72">
      <c r="A22" s="119" t="s">
        <v>15</v>
      </c>
    </row>
    <row r="23" spans="1:1">
      <c r="A23" s="118"/>
    </row>
    <row r="24" spans="1:1" ht="15.6">
      <c r="A24" s="128" t="s">
        <v>16</v>
      </c>
    </row>
    <row r="25" spans="1:1" ht="43.2">
      <c r="A25" s="119" t="s">
        <v>17</v>
      </c>
    </row>
    <row r="26" spans="1:1">
      <c r="A26" s="118"/>
    </row>
    <row r="27" spans="1:1">
      <c r="A27" s="118"/>
    </row>
    <row r="28" spans="1:1">
      <c r="A28" s="118"/>
    </row>
    <row r="29" spans="1:1">
      <c r="A29" s="118"/>
    </row>
    <row r="30" spans="1:1">
      <c r="A30" s="118"/>
    </row>
    <row r="31" spans="1:1">
      <c r="A31" s="118"/>
    </row>
    <row r="32" spans="1:1">
      <c r="A32" s="118"/>
    </row>
    <row r="33" spans="1:1">
      <c r="A33" s="118"/>
    </row>
    <row r="34" spans="1:1">
      <c r="A34" s="118"/>
    </row>
    <row r="35" spans="1:1">
      <c r="A35" s="118"/>
    </row>
    <row r="36" spans="1:1">
      <c r="A36" s="118"/>
    </row>
    <row r="37" spans="1:1">
      <c r="A37" s="118"/>
    </row>
    <row r="38" spans="1:1">
      <c r="A38" s="129" t="s">
        <v>18</v>
      </c>
    </row>
    <row r="39" spans="1:1">
      <c r="A39" s="129"/>
    </row>
    <row r="40" spans="1:1" ht="28.8">
      <c r="A40" s="119" t="s">
        <v>19</v>
      </c>
    </row>
    <row r="41" spans="1:1">
      <c r="A41" s="118"/>
    </row>
    <row r="42" spans="1:1">
      <c r="A42" s="118"/>
    </row>
    <row r="43" spans="1:1">
      <c r="A43" s="118"/>
    </row>
    <row r="44" spans="1:1">
      <c r="A44" s="118"/>
    </row>
    <row r="45" spans="1:1">
      <c r="A45" s="118"/>
    </row>
    <row r="46" spans="1:1">
      <c r="A46" s="118"/>
    </row>
    <row r="47" spans="1:1">
      <c r="A47" s="118"/>
    </row>
    <row r="48" spans="1:1">
      <c r="A48" s="118"/>
    </row>
    <row r="49" spans="1:1">
      <c r="A49" s="118"/>
    </row>
    <row r="50" spans="1:1">
      <c r="A50" s="118"/>
    </row>
    <row r="51" spans="1:1">
      <c r="A51" s="118"/>
    </row>
    <row r="52" spans="1:1">
      <c r="A52" s="118"/>
    </row>
    <row r="53" spans="1:1">
      <c r="A53" s="118"/>
    </row>
    <row r="54" spans="1:1">
      <c r="A54" s="118"/>
    </row>
    <row r="55" spans="1:1">
      <c r="A55" s="118"/>
    </row>
    <row r="56" spans="1:1">
      <c r="A56" s="118"/>
    </row>
    <row r="57" spans="1:1">
      <c r="A57" s="118"/>
    </row>
    <row r="58" spans="1:1">
      <c r="A58" s="129" t="s">
        <v>20</v>
      </c>
    </row>
    <row r="59" spans="1:1">
      <c r="A59" s="118"/>
    </row>
    <row r="60" spans="1:1" ht="43.2">
      <c r="A60" s="121" t="s">
        <v>21</v>
      </c>
    </row>
    <row r="61" spans="1:1">
      <c r="A61" s="118"/>
    </row>
    <row r="62" spans="1:1" ht="15.6">
      <c r="A62" s="128" t="s">
        <v>22</v>
      </c>
    </row>
    <row r="63" spans="1:1" ht="57.6">
      <c r="A63" s="119" t="s">
        <v>23</v>
      </c>
    </row>
    <row r="64" spans="1:1">
      <c r="A64" s="118"/>
    </row>
    <row r="65" spans="1:1">
      <c r="A65" s="118"/>
    </row>
    <row r="66" spans="1:1">
      <c r="A66" s="118"/>
    </row>
    <row r="67" spans="1:1">
      <c r="A67" s="118"/>
    </row>
    <row r="68" spans="1:1">
      <c r="A68" s="118"/>
    </row>
    <row r="69" spans="1:1">
      <c r="A69" s="118"/>
    </row>
    <row r="70" spans="1:1">
      <c r="A70" s="118"/>
    </row>
    <row r="71" spans="1:1">
      <c r="A71" s="118"/>
    </row>
    <row r="72" spans="1:1">
      <c r="A72" s="118"/>
    </row>
    <row r="73" spans="1:1">
      <c r="A73" s="118"/>
    </row>
    <row r="74" spans="1:1">
      <c r="A74" s="118"/>
    </row>
    <row r="75" spans="1:1">
      <c r="A75" s="118"/>
    </row>
    <row r="76" spans="1:1">
      <c r="A76" s="118"/>
    </row>
    <row r="77" spans="1:1">
      <c r="A77" s="118"/>
    </row>
    <row r="78" spans="1:1">
      <c r="A78" s="118"/>
    </row>
    <row r="79" spans="1:1">
      <c r="A79" s="118"/>
    </row>
    <row r="80" spans="1:1">
      <c r="A80" s="118"/>
    </row>
    <row r="81" spans="1:1">
      <c r="A81" s="118"/>
    </row>
    <row r="82" spans="1:1">
      <c r="A82" s="118"/>
    </row>
    <row r="83" spans="1:1">
      <c r="A83" s="118"/>
    </row>
    <row r="84" spans="1:1">
      <c r="A84" s="129" t="s">
        <v>24</v>
      </c>
    </row>
    <row r="85" spans="1:1">
      <c r="A85" s="129"/>
    </row>
    <row r="86" spans="1:1" ht="15.6">
      <c r="A86" s="128" t="s">
        <v>25</v>
      </c>
    </row>
    <row r="87" spans="1:1" ht="28.8">
      <c r="A87" s="119" t="s">
        <v>26</v>
      </c>
    </row>
  </sheetData>
  <hyperlinks>
    <hyperlink ref="A15" r:id="rId1" xr:uid="{5EF3A9D4-1E63-49AE-8FFE-A97A61D023BE}"/>
    <hyperlink ref="A13" r:id="rId2" xr:uid="{1BFA8DE9-2488-4633-A328-4EC465E23C07}"/>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439"/>
  <sheetViews>
    <sheetView tabSelected="1" zoomScale="90" zoomScaleNormal="90" workbookViewId="0">
      <pane xSplit="1" ySplit="2" topLeftCell="Z261" activePane="bottomRight" state="frozen"/>
      <selection pane="topRight" activeCell="B1" sqref="B1"/>
      <selection pane="bottomLeft" activeCell="A3" sqref="A3"/>
      <selection pane="bottomRight" activeCell="AM282" sqref="AM282"/>
    </sheetView>
  </sheetViews>
  <sheetFormatPr defaultColWidth="24.33203125" defaultRowHeight="14.4"/>
  <cols>
    <col min="1" max="1" width="49.6640625" style="43" bestFit="1" customWidth="1"/>
    <col min="2" max="2" width="74.5546875" style="43" customWidth="1"/>
    <col min="3" max="3" width="15.6640625" style="43" bestFit="1" customWidth="1"/>
    <col min="4" max="4" width="18.6640625" style="43" bestFit="1" customWidth="1"/>
    <col min="5" max="5" width="16.109375" style="47" customWidth="1"/>
    <col min="6" max="6" width="15.6640625" style="47" customWidth="1"/>
    <col min="7" max="7" width="13.109375" style="44" customWidth="1"/>
    <col min="8" max="8" width="14" style="44" bestFit="1" customWidth="1"/>
    <col min="9" max="9" width="12.44140625" style="44" customWidth="1"/>
    <col min="10" max="10" width="16.109375" style="43" customWidth="1"/>
    <col min="11" max="11" width="13" style="43" bestFit="1" customWidth="1"/>
    <col min="12" max="12" width="16.44140625" style="43" customWidth="1"/>
    <col min="13" max="13" width="16.5546875" style="43" customWidth="1"/>
    <col min="14" max="14" width="17" style="43" customWidth="1"/>
    <col min="15" max="15" width="21.44140625" style="43" customWidth="1"/>
    <col min="16" max="16" width="14" style="43" bestFit="1" customWidth="1"/>
    <col min="17" max="17" width="18.33203125" style="43" bestFit="1" customWidth="1"/>
    <col min="18" max="18" width="15.33203125" style="43" customWidth="1"/>
    <col min="19" max="19" width="14.109375" style="43" customWidth="1"/>
    <col min="20" max="23" width="24.33203125" style="43"/>
    <col min="24" max="24" width="32.109375" style="43" customWidth="1"/>
    <col min="25" max="25" width="16.5546875" style="43" customWidth="1"/>
    <col min="26" max="26" width="61.44140625" style="43" bestFit="1" customWidth="1"/>
    <col min="27" max="27" width="24.33203125" style="43"/>
    <col min="28" max="28" width="11.33203125" style="43" customWidth="1"/>
    <col min="29" max="29" width="12" style="43" customWidth="1"/>
    <col min="30" max="30" width="12.33203125" style="43" customWidth="1"/>
    <col min="31" max="31" width="12.6640625" style="43" customWidth="1"/>
    <col min="32" max="32" width="34" style="43" customWidth="1"/>
    <col min="33" max="33" width="19.44140625" style="43" customWidth="1"/>
    <col min="34" max="34" width="13.33203125" style="43" customWidth="1"/>
    <col min="35" max="35" width="16.6640625" style="43" customWidth="1"/>
    <col min="36" max="36" width="10.44140625" style="43" customWidth="1"/>
    <col min="37" max="37" width="13.88671875" style="43" customWidth="1"/>
    <col min="38" max="38" width="14.88671875" style="43" customWidth="1"/>
    <col min="39" max="39" width="19.109375" style="43" customWidth="1"/>
    <col min="40" max="40" width="16.33203125" style="43" customWidth="1"/>
    <col min="41" max="41" width="24.5546875" style="43" customWidth="1"/>
    <col min="42" max="42" width="21.5546875" customWidth="1"/>
    <col min="43" max="43" width="27.6640625" customWidth="1"/>
    <col min="44" max="44" width="17" style="38" customWidth="1"/>
    <col min="45" max="45" width="14.88671875" customWidth="1"/>
    <col min="46" max="46" width="16.6640625" customWidth="1"/>
    <col min="47" max="47" width="19.44140625" customWidth="1"/>
    <col min="48" max="48" width="13.44140625" style="19" customWidth="1"/>
    <col min="49" max="49" width="19.109375" style="19" customWidth="1"/>
    <col min="50" max="50" width="9.44140625" style="44" customWidth="1"/>
    <col min="51" max="51" width="15.88671875" style="44" customWidth="1"/>
    <col min="52" max="52" width="16" style="44" bestFit="1" customWidth="1"/>
    <col min="53" max="53" width="9.88671875" style="44" customWidth="1"/>
    <col min="54" max="54" width="10.6640625" style="72" customWidth="1"/>
    <col min="55" max="55" width="17.33203125" style="43" customWidth="1"/>
    <col min="56" max="56" width="14.88671875" style="43" customWidth="1"/>
    <col min="57" max="57" width="7.5546875" style="44" bestFit="1" customWidth="1"/>
    <col min="58" max="58" width="7.44140625" style="44" bestFit="1" customWidth="1"/>
    <col min="59" max="59" width="6.88671875" style="44" bestFit="1" customWidth="1"/>
    <col min="60" max="60" width="7.109375" style="44" bestFit="1" customWidth="1"/>
    <col min="61" max="61" width="14.88671875" style="44" customWidth="1"/>
    <col min="62" max="62" width="29.5546875" style="44" bestFit="1" customWidth="1"/>
    <col min="63" max="63" width="15.5546875" style="44" customWidth="1"/>
    <col min="64" max="64" width="14.44140625" style="44" customWidth="1"/>
    <col min="65" max="65" width="14.88671875" customWidth="1"/>
    <col min="66" max="66" width="14.44140625" customWidth="1"/>
    <col min="67" max="68" width="0" style="19" hidden="1" customWidth="1"/>
    <col min="69" max="69" width="17.109375" style="19" customWidth="1"/>
    <col min="70" max="70" width="17.33203125" style="19" customWidth="1"/>
    <col min="71" max="71" width="22.5546875" style="19" bestFit="1" customWidth="1"/>
    <col min="72" max="72" width="24.33203125" style="37" customWidth="1"/>
  </cols>
  <sheetData>
    <row r="1" spans="1:72" ht="15.6">
      <c r="A1" s="88" t="s">
        <v>27</v>
      </c>
      <c r="B1" s="52"/>
      <c r="C1" s="52"/>
      <c r="D1" s="52"/>
      <c r="E1" s="52"/>
      <c r="F1" s="52"/>
      <c r="G1" s="58"/>
      <c r="H1" s="58"/>
      <c r="I1" s="58"/>
      <c r="J1" s="52"/>
      <c r="K1" s="52"/>
      <c r="L1" s="52"/>
      <c r="M1" s="53"/>
      <c r="N1" s="87" t="s">
        <v>28</v>
      </c>
      <c r="O1" s="81"/>
      <c r="P1" s="81"/>
      <c r="Q1" s="81"/>
      <c r="R1" s="81"/>
      <c r="S1" s="82"/>
      <c r="T1" s="215" t="s">
        <v>29</v>
      </c>
      <c r="U1" s="216"/>
      <c r="V1" s="216"/>
      <c r="W1" s="217" t="s">
        <v>30</v>
      </c>
      <c r="X1" s="217"/>
      <c r="Y1" s="217"/>
      <c r="Z1" s="217"/>
      <c r="AA1" s="217"/>
      <c r="AB1" s="217"/>
      <c r="AC1" s="217"/>
      <c r="AD1" s="217"/>
      <c r="AE1" s="217"/>
      <c r="AF1" s="217"/>
      <c r="AG1" s="217"/>
      <c r="AH1" s="217"/>
      <c r="AI1" s="217"/>
      <c r="AJ1" s="217"/>
      <c r="AK1" s="217"/>
      <c r="AL1" s="217"/>
      <c r="AM1" s="217"/>
      <c r="AN1" s="217"/>
      <c r="AO1" s="217"/>
      <c r="AP1" s="18"/>
      <c r="AQ1" s="18"/>
      <c r="AR1" s="147" t="s">
        <v>31</v>
      </c>
      <c r="AS1" s="98"/>
      <c r="AT1" s="98"/>
      <c r="AU1" s="98"/>
      <c r="AV1" s="98"/>
      <c r="AW1" s="98"/>
      <c r="AX1" s="99"/>
      <c r="AY1" s="81"/>
      <c r="AZ1" s="104"/>
      <c r="BA1" s="99"/>
      <c r="BB1" s="152"/>
      <c r="BC1" s="107" t="s">
        <v>32</v>
      </c>
      <c r="BD1" s="108"/>
      <c r="BE1" s="108"/>
      <c r="BF1" s="108"/>
      <c r="BG1" s="108"/>
      <c r="BH1" s="108"/>
      <c r="BI1" s="108"/>
      <c r="BJ1" s="218" t="s">
        <v>33</v>
      </c>
      <c r="BK1" s="217"/>
      <c r="BL1" s="217"/>
      <c r="BM1" s="217"/>
      <c r="BN1" s="217"/>
      <c r="BO1" s="217"/>
      <c r="BP1" s="217"/>
      <c r="BQ1" s="217"/>
      <c r="BR1" s="217"/>
      <c r="BS1" s="114"/>
      <c r="BT1" s="113" t="s">
        <v>34</v>
      </c>
    </row>
    <row r="2" spans="1:72" s="55" customFormat="1" ht="62.4">
      <c r="A2" s="54" t="s">
        <v>35</v>
      </c>
      <c r="B2" s="40" t="s">
        <v>36</v>
      </c>
      <c r="C2" s="40" t="s">
        <v>37</v>
      </c>
      <c r="D2" s="40" t="s">
        <v>38</v>
      </c>
      <c r="E2" s="46" t="s">
        <v>39</v>
      </c>
      <c r="F2" s="46" t="s">
        <v>40</v>
      </c>
      <c r="G2" s="146" t="s">
        <v>41</v>
      </c>
      <c r="H2" s="146" t="s">
        <v>42</v>
      </c>
      <c r="I2" s="146" t="s">
        <v>43</v>
      </c>
      <c r="J2" s="46" t="s">
        <v>44</v>
      </c>
      <c r="K2" s="146" t="s">
        <v>45</v>
      </c>
      <c r="L2" s="40" t="s">
        <v>46</v>
      </c>
      <c r="M2" s="42" t="s">
        <v>47</v>
      </c>
      <c r="N2" s="83" t="s">
        <v>48</v>
      </c>
      <c r="O2" s="84" t="s">
        <v>49</v>
      </c>
      <c r="P2" s="85" t="s">
        <v>50</v>
      </c>
      <c r="Q2" s="85" t="s">
        <v>51</v>
      </c>
      <c r="R2" s="85" t="s">
        <v>52</v>
      </c>
      <c r="S2" s="86" t="s">
        <v>53</v>
      </c>
      <c r="T2" s="89" t="s">
        <v>54</v>
      </c>
      <c r="U2" s="90" t="s">
        <v>55</v>
      </c>
      <c r="V2" s="91" t="s">
        <v>56</v>
      </c>
      <c r="W2" s="41" t="s">
        <v>57</v>
      </c>
      <c r="X2" s="40" t="s">
        <v>58</v>
      </c>
      <c r="Y2" s="40" t="s">
        <v>59</v>
      </c>
      <c r="Z2" s="92" t="s">
        <v>60</v>
      </c>
      <c r="AA2" s="40" t="s">
        <v>61</v>
      </c>
      <c r="AB2" s="40" t="s">
        <v>62</v>
      </c>
      <c r="AC2" s="40" t="s">
        <v>63</v>
      </c>
      <c r="AD2" s="40" t="s">
        <v>64</v>
      </c>
      <c r="AE2" s="40" t="s">
        <v>65</v>
      </c>
      <c r="AF2" s="40" t="s">
        <v>66</v>
      </c>
      <c r="AG2" s="94" t="s">
        <v>67</v>
      </c>
      <c r="AH2" s="94" t="s">
        <v>68</v>
      </c>
      <c r="AI2" s="94" t="s">
        <v>69</v>
      </c>
      <c r="AJ2" s="94" t="s">
        <v>70</v>
      </c>
      <c r="AK2" s="94" t="s">
        <v>71</v>
      </c>
      <c r="AL2" s="94" t="s">
        <v>72</v>
      </c>
      <c r="AM2" s="94" t="s">
        <v>73</v>
      </c>
      <c r="AN2" s="56" t="s">
        <v>74</v>
      </c>
      <c r="AO2" s="42" t="s">
        <v>75</v>
      </c>
      <c r="AP2" s="95" t="s">
        <v>76</v>
      </c>
      <c r="AQ2" s="95" t="s">
        <v>77</v>
      </c>
      <c r="AR2" s="96" t="s">
        <v>78</v>
      </c>
      <c r="AS2" s="97" t="s">
        <v>79</v>
      </c>
      <c r="AT2" s="97" t="s">
        <v>80</v>
      </c>
      <c r="AU2" s="97" t="s">
        <v>81</v>
      </c>
      <c r="AV2" s="97" t="s">
        <v>82</v>
      </c>
      <c r="AW2" s="97" t="s">
        <v>83</v>
      </c>
      <c r="AX2" s="105" t="s">
        <v>84</v>
      </c>
      <c r="AY2" s="102" t="s">
        <v>85</v>
      </c>
      <c r="AZ2" s="103" t="s">
        <v>86</v>
      </c>
      <c r="BA2" s="105" t="s">
        <v>87</v>
      </c>
      <c r="BB2" s="153" t="s">
        <v>88</v>
      </c>
      <c r="BC2" s="106" t="s">
        <v>89</v>
      </c>
      <c r="BD2" s="106" t="s">
        <v>90</v>
      </c>
      <c r="BE2" s="106" t="s">
        <v>91</v>
      </c>
      <c r="BF2" s="106" t="s">
        <v>92</v>
      </c>
      <c r="BG2" s="106" t="s">
        <v>93</v>
      </c>
      <c r="BH2" s="106" t="s">
        <v>94</v>
      </c>
      <c r="BI2" s="90" t="s">
        <v>95</v>
      </c>
      <c r="BJ2" s="41" t="s">
        <v>96</v>
      </c>
      <c r="BK2" s="40" t="s">
        <v>97</v>
      </c>
      <c r="BL2" s="42" t="s">
        <v>98</v>
      </c>
      <c r="BM2" s="109" t="s">
        <v>99</v>
      </c>
      <c r="BN2" s="109" t="s">
        <v>100</v>
      </c>
      <c r="BO2" s="109" t="s">
        <v>101</v>
      </c>
      <c r="BP2" s="109" t="s">
        <v>102</v>
      </c>
      <c r="BQ2" s="110" t="s">
        <v>103</v>
      </c>
      <c r="BR2" s="111" t="s">
        <v>104</v>
      </c>
      <c r="BS2" s="115" t="s">
        <v>105</v>
      </c>
      <c r="BT2" s="112" t="s">
        <v>106</v>
      </c>
    </row>
    <row r="3" spans="1:72">
      <c r="B3" s="43" t="s">
        <v>655</v>
      </c>
      <c r="C3" s="43" t="s">
        <v>109</v>
      </c>
      <c r="D3" s="43" t="s">
        <v>110</v>
      </c>
      <c r="E3" s="47">
        <v>44.425328</v>
      </c>
      <c r="F3" s="47">
        <v>-73.211496999999994</v>
      </c>
      <c r="G3" s="44">
        <v>0</v>
      </c>
      <c r="H3" s="44">
        <v>0</v>
      </c>
      <c r="I3" s="44">
        <v>0.81016200000000005</v>
      </c>
      <c r="J3" s="43" t="s">
        <v>162</v>
      </c>
      <c r="K3" s="203" t="s">
        <v>162</v>
      </c>
      <c r="N3" s="48"/>
      <c r="O3" s="43" t="s">
        <v>589</v>
      </c>
      <c r="P3" s="43" t="s">
        <v>656</v>
      </c>
      <c r="T3" s="43" t="s">
        <v>612</v>
      </c>
      <c r="U3" s="43" t="s">
        <v>499</v>
      </c>
      <c r="V3" s="43" t="s">
        <v>500</v>
      </c>
      <c r="W3" s="43" t="s">
        <v>115</v>
      </c>
      <c r="X3" s="43" t="s">
        <v>383</v>
      </c>
      <c r="Y3" s="43">
        <v>0.41585299999999997</v>
      </c>
      <c r="Z3" s="43" t="s">
        <v>146</v>
      </c>
      <c r="AA3" s="43" t="s">
        <v>118</v>
      </c>
      <c r="AF3" s="43">
        <v>0.39430900000000008</v>
      </c>
      <c r="AG3" s="43" t="s">
        <v>119</v>
      </c>
      <c r="AH3" s="203"/>
      <c r="AI3" s="203"/>
      <c r="AJ3" s="203"/>
      <c r="AK3" s="203"/>
      <c r="AL3" s="204"/>
      <c r="AN3" s="50">
        <v>1873.08</v>
      </c>
      <c r="AO3" s="43" t="s">
        <v>330</v>
      </c>
      <c r="AP3" s="205"/>
      <c r="AQ3" s="205"/>
      <c r="AR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0.40712910112327882</v>
      </c>
      <c r="AS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0.98360223117287049</v>
      </c>
      <c r="AT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7.0000000000000062E-2</v>
      </c>
      <c r="AU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0.91801115586435245</v>
      </c>
      <c r="AV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0.79426078091050467</v>
      </c>
      <c r="AW3" s="19">
        <f>IFERROR(Table1[[#This Row],[* Practice Efficiency]]*Table1[[#This Row],[* Load Before Treatment (kg/yr)]],"")</f>
        <v>0.32336667778956729</v>
      </c>
      <c r="AX3" s="100">
        <v>0</v>
      </c>
      <c r="AY3" s="44" t="s">
        <v>121</v>
      </c>
      <c r="BA3" s="101">
        <v>1</v>
      </c>
      <c r="BB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0.32336667778956729</v>
      </c>
      <c r="BC3" s="44"/>
      <c r="BD3" s="44"/>
      <c r="BJ3" s="43"/>
      <c r="BK3" s="45"/>
      <c r="BL3" s="45"/>
      <c r="BM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 s="19" t="str">
        <f>IFERROR(Table1[[#This Row],[* Prior Practice Efficiency]]*Table1[[#This Row],[* Prior Load Before Treatment (kg/year)]],"")</f>
        <v/>
      </c>
      <c r="BT3" s="19"/>
    </row>
    <row r="4" spans="1:72">
      <c r="B4" s="43" t="s">
        <v>643</v>
      </c>
      <c r="C4" s="43" t="s">
        <v>109</v>
      </c>
      <c r="D4" s="43" t="s">
        <v>110</v>
      </c>
      <c r="E4" s="47">
        <v>44.444265434902249</v>
      </c>
      <c r="F4" s="47">
        <v>-73.209502213537718</v>
      </c>
      <c r="G4" s="44">
        <v>0</v>
      </c>
      <c r="H4" s="44">
        <v>0</v>
      </c>
      <c r="I4" s="44">
        <v>21.254874999999998</v>
      </c>
      <c r="J4" s="43" t="s">
        <v>162</v>
      </c>
      <c r="K4" s="203" t="s">
        <v>162</v>
      </c>
      <c r="N4" s="48"/>
      <c r="O4" s="43" t="s">
        <v>589</v>
      </c>
      <c r="P4" s="43" t="s">
        <v>644</v>
      </c>
      <c r="T4" s="43" t="s">
        <v>645</v>
      </c>
      <c r="U4" s="43" t="s">
        <v>499</v>
      </c>
      <c r="V4" s="43" t="s">
        <v>500</v>
      </c>
      <c r="W4" s="43" t="s">
        <v>115</v>
      </c>
      <c r="X4" s="43" t="s">
        <v>528</v>
      </c>
      <c r="Y4" s="43">
        <v>11.531890000000001</v>
      </c>
      <c r="Z4" s="43" t="s">
        <v>136</v>
      </c>
      <c r="AA4" s="43" t="s">
        <v>118</v>
      </c>
      <c r="AF4" s="43">
        <v>9.7229849999999978</v>
      </c>
      <c r="AG4" s="43" t="s">
        <v>119</v>
      </c>
      <c r="AH4" s="203"/>
      <c r="AI4" s="203"/>
      <c r="AJ4" s="203"/>
      <c r="AK4" s="203"/>
      <c r="AL4" s="204"/>
      <c r="AN4" s="50">
        <v>49179.24</v>
      </c>
      <c r="AP4" s="205"/>
      <c r="AQ4" s="205"/>
      <c r="AR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7.8000828266812512</v>
      </c>
      <c r="AS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0.95781971885554473</v>
      </c>
      <c r="AT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9.999999999999995E-3</v>
      </c>
      <c r="AU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0.78909859427772366</v>
      </c>
      <c r="AV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9.7890985942777231E-2</v>
      </c>
      <c r="AW4" s="19">
        <f>IFERROR(Table1[[#This Row],[* Practice Efficiency]]*Table1[[#This Row],[* Load Before Treatment (kg/yr)]],"")</f>
        <v>0.76355779833915249</v>
      </c>
      <c r="AX4" s="100">
        <v>0</v>
      </c>
      <c r="AY4" s="44" t="s">
        <v>121</v>
      </c>
      <c r="BA4" s="101">
        <v>1</v>
      </c>
      <c r="BB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0.76355779833915249</v>
      </c>
      <c r="BC4" s="44"/>
      <c r="BD4" s="44"/>
      <c r="BJ4" s="43"/>
      <c r="BK4" s="45"/>
      <c r="BL4" s="45"/>
      <c r="BM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 s="19" t="str">
        <f>IFERROR(Table1[[#This Row],[* Prior Practice Efficiency]]*Table1[[#This Row],[* Prior Load Before Treatment (kg/year)]],"")</f>
        <v/>
      </c>
      <c r="BT4" s="19"/>
    </row>
    <row r="5" spans="1:72">
      <c r="B5" s="43" t="s">
        <v>597</v>
      </c>
      <c r="C5" s="43" t="s">
        <v>109</v>
      </c>
      <c r="D5" s="43" t="s">
        <v>110</v>
      </c>
      <c r="E5" s="47">
        <v>44.794291437813087</v>
      </c>
      <c r="F5" s="47">
        <v>-73.065050103775874</v>
      </c>
      <c r="G5" s="44">
        <v>0</v>
      </c>
      <c r="H5" s="44">
        <v>0</v>
      </c>
      <c r="I5" s="44">
        <v>85.130742999999995</v>
      </c>
      <c r="J5" s="43" t="s">
        <v>162</v>
      </c>
      <c r="K5" s="203" t="s">
        <v>162</v>
      </c>
      <c r="N5" s="48"/>
      <c r="O5" s="43" t="s">
        <v>598</v>
      </c>
      <c r="P5" s="43">
        <v>2022</v>
      </c>
      <c r="T5" s="43" t="s">
        <v>328</v>
      </c>
      <c r="U5" s="43" t="s">
        <v>164</v>
      </c>
      <c r="V5" s="43" t="s">
        <v>527</v>
      </c>
      <c r="W5" s="43" t="s">
        <v>115</v>
      </c>
      <c r="X5" s="43" t="s">
        <v>528</v>
      </c>
      <c r="Y5" s="43">
        <v>2.7547329999999999</v>
      </c>
      <c r="Z5" s="43" t="s">
        <v>136</v>
      </c>
      <c r="AA5" s="43" t="s">
        <v>118</v>
      </c>
      <c r="AF5" s="43">
        <v>82.376009999999994</v>
      </c>
      <c r="AG5" s="43" t="s">
        <v>119</v>
      </c>
      <c r="AH5" s="203"/>
      <c r="AI5" s="203"/>
      <c r="AJ5" s="203"/>
      <c r="AK5" s="203"/>
      <c r="AL5" s="204"/>
      <c r="AN5" s="50">
        <v>79279.199999999997</v>
      </c>
      <c r="AP5" s="205"/>
      <c r="AQ5" s="205"/>
      <c r="AR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1.986418816308521</v>
      </c>
      <c r="AS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0.91390972204683574</v>
      </c>
      <c r="AT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9.999999999999995E-3</v>
      </c>
      <c r="AU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0.56954861023417858</v>
      </c>
      <c r="AV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9.5695486102341784E-2</v>
      </c>
      <c r="AW5" s="19">
        <f>IFERROR(Table1[[#This Row],[* Practice Efficiency]]*Table1[[#This Row],[* Load Before Treatment (kg/yr)]],"")</f>
        <v>0.19009131422948228</v>
      </c>
      <c r="AX5" s="100">
        <v>0</v>
      </c>
      <c r="AY5" s="44" t="s">
        <v>121</v>
      </c>
      <c r="BA5" s="101">
        <v>1</v>
      </c>
      <c r="BB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0.19009131422948228</v>
      </c>
      <c r="BC5" s="44"/>
      <c r="BD5" s="44"/>
      <c r="BJ5" s="43"/>
      <c r="BK5" s="45"/>
      <c r="BL5" s="45"/>
      <c r="BM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5" s="19" t="str">
        <f>IFERROR(Table1[[#This Row],[* Prior Practice Efficiency]]*Table1[[#This Row],[* Prior Load Before Treatment (kg/year)]],"")</f>
        <v/>
      </c>
      <c r="BT5" s="19" t="s">
        <v>599</v>
      </c>
    </row>
    <row r="6" spans="1:72">
      <c r="B6" s="43" t="s">
        <v>600</v>
      </c>
      <c r="C6" s="43" t="s">
        <v>109</v>
      </c>
      <c r="D6" s="43" t="s">
        <v>110</v>
      </c>
      <c r="E6" s="47">
        <v>44.798114205934183</v>
      </c>
      <c r="F6" s="47">
        <v>-73.075779865678058</v>
      </c>
      <c r="G6" s="44">
        <v>0</v>
      </c>
      <c r="H6" s="44">
        <v>0</v>
      </c>
      <c r="I6" s="44">
        <v>13.704242000000001</v>
      </c>
      <c r="J6" s="43" t="s">
        <v>162</v>
      </c>
      <c r="K6" s="203" t="s">
        <v>162</v>
      </c>
      <c r="N6" s="48"/>
      <c r="O6" s="43" t="s">
        <v>598</v>
      </c>
      <c r="P6" s="43">
        <v>2022</v>
      </c>
      <c r="T6" s="43" t="s">
        <v>328</v>
      </c>
      <c r="U6" s="43" t="s">
        <v>164</v>
      </c>
      <c r="V6" s="43" t="s">
        <v>527</v>
      </c>
      <c r="W6" s="43" t="s">
        <v>115</v>
      </c>
      <c r="X6" s="43" t="s">
        <v>528</v>
      </c>
      <c r="Y6" s="43">
        <v>0.55273300000000003</v>
      </c>
      <c r="Z6" s="43" t="s">
        <v>136</v>
      </c>
      <c r="AA6" s="43" t="s">
        <v>118</v>
      </c>
      <c r="AF6" s="43">
        <v>13.151509000000001</v>
      </c>
      <c r="AG6" s="43" t="s">
        <v>119</v>
      </c>
      <c r="AH6" s="203"/>
      <c r="AI6" s="203"/>
      <c r="AJ6" s="203"/>
      <c r="AK6" s="203"/>
      <c r="AL6" s="204"/>
      <c r="AN6" s="50">
        <v>28401.120000000003</v>
      </c>
      <c r="AP6" s="205"/>
      <c r="AQ6" s="205"/>
      <c r="AR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0.39857192388324308</v>
      </c>
      <c r="AS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1.3875519524099111</v>
      </c>
      <c r="AT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1.0000000000000009E-2</v>
      </c>
      <c r="AU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0.77510390481982228</v>
      </c>
      <c r="AV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0.11775103904819822</v>
      </c>
      <c r="AW6" s="19">
        <f>IFERROR(Table1[[#This Row],[* Practice Efficiency]]*Table1[[#This Row],[* Load Before Treatment (kg/yr)]],"")</f>
        <v>4.6932258172691248E-2</v>
      </c>
      <c r="AX6" s="100">
        <v>0</v>
      </c>
      <c r="AY6" s="44" t="s">
        <v>121</v>
      </c>
      <c r="BA6" s="101">
        <v>1</v>
      </c>
      <c r="BB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4.6932258172691248E-2</v>
      </c>
      <c r="BC6" s="44"/>
      <c r="BD6" s="44"/>
      <c r="BJ6" s="43"/>
      <c r="BK6" s="45"/>
      <c r="BL6" s="45"/>
      <c r="BM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6" s="19" t="str">
        <f>IFERROR(Table1[[#This Row],[* Prior Practice Efficiency]]*Table1[[#This Row],[* Prior Load Before Treatment (kg/year)]],"")</f>
        <v/>
      </c>
      <c r="BT6" s="19" t="s">
        <v>599</v>
      </c>
    </row>
    <row r="7" spans="1:72">
      <c r="B7" s="43" t="s">
        <v>659</v>
      </c>
      <c r="C7" s="43" t="s">
        <v>109</v>
      </c>
      <c r="D7" s="43" t="s">
        <v>110</v>
      </c>
      <c r="E7" s="47">
        <v>44.411012999999997</v>
      </c>
      <c r="F7" s="47">
        <v>-73.217848564631623</v>
      </c>
      <c r="G7" s="44">
        <v>0</v>
      </c>
      <c r="H7" s="44">
        <v>0</v>
      </c>
      <c r="I7" s="44">
        <v>6.7808120000000001</v>
      </c>
      <c r="J7" s="43" t="s">
        <v>162</v>
      </c>
      <c r="K7" s="203" t="s">
        <v>162</v>
      </c>
      <c r="N7" s="48"/>
      <c r="O7" s="43" t="s">
        <v>589</v>
      </c>
      <c r="P7" s="43" t="s">
        <v>660</v>
      </c>
      <c r="T7" s="43" t="s">
        <v>661</v>
      </c>
      <c r="U7" s="43" t="s">
        <v>499</v>
      </c>
      <c r="V7" s="43" t="s">
        <v>500</v>
      </c>
      <c r="W7" s="43" t="s">
        <v>115</v>
      </c>
      <c r="X7" s="43" t="s">
        <v>165</v>
      </c>
      <c r="Y7" s="43">
        <v>3.7664120000000003</v>
      </c>
      <c r="Z7" s="43" t="s">
        <v>146</v>
      </c>
      <c r="AA7" s="43" t="s">
        <v>118</v>
      </c>
      <c r="AF7" s="43">
        <v>3.0143999999999997</v>
      </c>
      <c r="AG7" s="43" t="s">
        <v>119</v>
      </c>
      <c r="AH7" s="203"/>
      <c r="AI7" s="203"/>
      <c r="AJ7" s="203"/>
      <c r="AK7" s="203"/>
      <c r="AL7" s="204"/>
      <c r="AN7" s="50">
        <v>23696.640000000003</v>
      </c>
      <c r="AP7" s="205"/>
      <c r="AQ7" s="205"/>
      <c r="AR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3.687398989594715</v>
      </c>
      <c r="AS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1.3352765470562944</v>
      </c>
      <c r="AT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0.67055309411258879</v>
      </c>
      <c r="AV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0.5968221237645035</v>
      </c>
      <c r="AW7" s="19">
        <f>IFERROR(Table1[[#This Row],[* Practice Efficiency]]*Table1[[#This Row],[* Load Before Treatment (kg/yr)]],"")</f>
        <v>2.2007212961370022</v>
      </c>
      <c r="AX7" s="100">
        <v>0</v>
      </c>
      <c r="AY7" s="44" t="s">
        <v>121</v>
      </c>
      <c r="BA7" s="101">
        <v>1</v>
      </c>
      <c r="BB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2.2007212961370022</v>
      </c>
      <c r="BC7" s="44"/>
      <c r="BD7" s="44"/>
      <c r="BJ7" s="43"/>
      <c r="BK7" s="45"/>
      <c r="BL7" s="45"/>
      <c r="BM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7" s="19" t="str">
        <f>IFERROR(Table1[[#This Row],[* Prior Practice Efficiency]]*Table1[[#This Row],[* Prior Load Before Treatment (kg/year)]],"")</f>
        <v/>
      </c>
      <c r="BT7" s="19"/>
    </row>
    <row r="8" spans="1:72">
      <c r="A8" s="43" t="s">
        <v>451</v>
      </c>
      <c r="B8" s="43" t="s">
        <v>452</v>
      </c>
      <c r="C8" s="43" t="s">
        <v>109</v>
      </c>
      <c r="D8" s="43" t="s">
        <v>110</v>
      </c>
      <c r="G8" s="44">
        <v>0</v>
      </c>
      <c r="H8" s="44">
        <v>0</v>
      </c>
      <c r="I8" s="44">
        <v>1.2</v>
      </c>
      <c r="J8" s="43" t="s">
        <v>162</v>
      </c>
      <c r="K8" s="66" t="s">
        <v>162</v>
      </c>
      <c r="N8" s="48"/>
      <c r="O8" s="43" t="s">
        <v>113</v>
      </c>
      <c r="Q8" s="43">
        <v>2019</v>
      </c>
      <c r="T8" s="43" t="s">
        <v>453</v>
      </c>
      <c r="U8" s="43" t="s">
        <v>134</v>
      </c>
      <c r="V8" s="43" t="str">
        <f>IFERROR(VLOOKUP(Table1[[#This Row],[LC TMDL Drainage Area]],Dropdowns!$P$3:$Q$23,2,FALSE),"")</f>
        <v>Main Lake</v>
      </c>
      <c r="W8" s="43" t="s">
        <v>115</v>
      </c>
      <c r="X8" s="43" t="s">
        <v>165</v>
      </c>
      <c r="Y8" s="43">
        <v>0.26</v>
      </c>
      <c r="Z8" s="43" t="s">
        <v>136</v>
      </c>
      <c r="AA8" s="43" t="s">
        <v>118</v>
      </c>
      <c r="AB8" s="93"/>
      <c r="AC8" s="93"/>
      <c r="AD8" s="93"/>
      <c r="AE8" s="93"/>
      <c r="AF8" s="43">
        <v>0.94</v>
      </c>
      <c r="AG8" s="43" t="s">
        <v>119</v>
      </c>
      <c r="AH8" s="5"/>
      <c r="AI8" s="5"/>
      <c r="AJ8" s="4"/>
      <c r="AK8" s="4"/>
      <c r="AL8" s="60"/>
      <c r="AM8"/>
      <c r="AN8" s="50">
        <v>5006.87</v>
      </c>
      <c r="AP8" s="8" t="s">
        <v>196</v>
      </c>
      <c r="AQ8" s="8" t="s">
        <v>196</v>
      </c>
      <c r="AR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0.17076291854551465</v>
      </c>
      <c r="AS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1.8540617940765061</v>
      </c>
      <c r="AT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1.0000000000000009E-2</v>
      </c>
      <c r="AU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0.70812358815301213</v>
      </c>
      <c r="AV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0.61708123588153008</v>
      </c>
      <c r="AW8" s="19">
        <f>IFERROR(Table1[[#This Row],[* Practice Efficiency]]*Table1[[#This Row],[* Load Before Treatment (kg/yr)]],"")</f>
        <v>0.10537459281880324</v>
      </c>
      <c r="AX8" s="100">
        <f>Table1[[#This Row],[Manually entered practice effiency ]]*Table1[[#This Row],[* Load Before Treatment (kg/yr)]]</f>
        <v>0</v>
      </c>
      <c r="AY8" s="43" t="s">
        <v>121</v>
      </c>
      <c r="BA8" s="101">
        <v>1</v>
      </c>
      <c r="BB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0.10537459281880324</v>
      </c>
      <c r="BC8" s="44"/>
      <c r="BD8" s="44"/>
      <c r="BJ8" s="43"/>
      <c r="BK8" s="45"/>
      <c r="BL8" s="45"/>
      <c r="BM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8" s="19" t="str">
        <f>IFERROR(Table1[[#This Row],[* Prior Practice Efficiency]]*Table1[[#This Row],[* Prior Load Before Treatment (kg/year)]],"")</f>
        <v/>
      </c>
      <c r="BT8" s="19" t="s">
        <v>454</v>
      </c>
    </row>
    <row r="9" spans="1:72">
      <c r="A9" s="43" t="s">
        <v>455</v>
      </c>
      <c r="B9" s="43" t="s">
        <v>452</v>
      </c>
      <c r="C9" s="43" t="s">
        <v>109</v>
      </c>
      <c r="D9" s="43" t="s">
        <v>110</v>
      </c>
      <c r="G9" s="44">
        <v>0</v>
      </c>
      <c r="H9" s="44">
        <v>0</v>
      </c>
      <c r="I9" s="44">
        <v>1.04</v>
      </c>
      <c r="J9" s="43" t="s">
        <v>162</v>
      </c>
      <c r="K9" s="66" t="s">
        <v>162</v>
      </c>
      <c r="N9" s="48"/>
      <c r="O9" s="43" t="s">
        <v>113</v>
      </c>
      <c r="Q9" s="43">
        <v>2019</v>
      </c>
      <c r="T9" s="43" t="s">
        <v>453</v>
      </c>
      <c r="U9" s="43" t="s">
        <v>134</v>
      </c>
      <c r="V9" s="43" t="str">
        <f>IFERROR(VLOOKUP(Table1[[#This Row],[LC TMDL Drainage Area]],Dropdowns!$P$3:$Q$23,2,FALSE),"")</f>
        <v>Main Lake</v>
      </c>
      <c r="W9" s="43" t="s">
        <v>115</v>
      </c>
      <c r="X9" s="43" t="s">
        <v>165</v>
      </c>
      <c r="Y9" s="43">
        <v>0.26</v>
      </c>
      <c r="Z9" s="43" t="s">
        <v>136</v>
      </c>
      <c r="AA9" s="43" t="s">
        <v>118</v>
      </c>
      <c r="AB9" s="93"/>
      <c r="AC9" s="93"/>
      <c r="AD9" s="93"/>
      <c r="AE9" s="93"/>
      <c r="AF9" s="43">
        <v>0.78</v>
      </c>
      <c r="AG9" s="43" t="s">
        <v>119</v>
      </c>
      <c r="AH9" s="5"/>
      <c r="AI9" s="5"/>
      <c r="AJ9" s="4"/>
      <c r="AK9" s="4"/>
      <c r="AL9" s="60"/>
      <c r="AM9"/>
      <c r="AN9" s="50">
        <v>6145.93</v>
      </c>
      <c r="AP9" s="8" t="s">
        <v>196</v>
      </c>
      <c r="AQ9" s="8" t="s">
        <v>196</v>
      </c>
      <c r="AR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0.17076291854551465</v>
      </c>
      <c r="AS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2</v>
      </c>
      <c r="AT9"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0.65</v>
      </c>
      <c r="AW9" s="19">
        <f>IFERROR(Table1[[#This Row],[* Practice Efficiency]]*Table1[[#This Row],[* Load Before Treatment (kg/yr)]],"")</f>
        <v>0.11099589705458453</v>
      </c>
      <c r="AX9" s="100">
        <f>Table1[[#This Row],[Manually entered practice effiency ]]*Table1[[#This Row],[* Load Before Treatment (kg/yr)]]</f>
        <v>0</v>
      </c>
      <c r="AY9" s="43" t="s">
        <v>121</v>
      </c>
      <c r="BA9" s="101">
        <v>1</v>
      </c>
      <c r="BB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0.11099589705458453</v>
      </c>
      <c r="BC9" s="44"/>
      <c r="BD9" s="44"/>
      <c r="BJ9" s="43"/>
      <c r="BK9" s="45"/>
      <c r="BL9" s="45"/>
      <c r="BM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9" s="19" t="str">
        <f>IFERROR(Table1[[#This Row],[* Prior Practice Efficiency]]*Table1[[#This Row],[* Prior Load Before Treatment (kg/year)]],"")</f>
        <v/>
      </c>
      <c r="BT9" s="19" t="s">
        <v>456</v>
      </c>
    </row>
    <row r="10" spans="1:72">
      <c r="A10" s="43" t="s">
        <v>457</v>
      </c>
      <c r="B10" s="43" t="s">
        <v>452</v>
      </c>
      <c r="C10" s="43" t="s">
        <v>109</v>
      </c>
      <c r="D10" s="43" t="s">
        <v>110</v>
      </c>
      <c r="G10" s="44">
        <v>0</v>
      </c>
      <c r="H10" s="44">
        <v>0</v>
      </c>
      <c r="I10" s="44">
        <v>3.27</v>
      </c>
      <c r="J10" s="43" t="s">
        <v>162</v>
      </c>
      <c r="K10" s="66" t="s">
        <v>162</v>
      </c>
      <c r="N10" s="48"/>
      <c r="O10" s="43" t="s">
        <v>113</v>
      </c>
      <c r="Q10" s="43">
        <v>2019</v>
      </c>
      <c r="T10" s="43" t="s">
        <v>453</v>
      </c>
      <c r="U10" s="43" t="s">
        <v>134</v>
      </c>
      <c r="V10" s="43" t="str">
        <f>IFERROR(VLOOKUP(Table1[[#This Row],[LC TMDL Drainage Area]],Dropdowns!$P$3:$Q$23,2,FALSE),"")</f>
        <v>Main Lake</v>
      </c>
      <c r="W10" s="43" t="s">
        <v>115</v>
      </c>
      <c r="X10" s="43" t="s">
        <v>165</v>
      </c>
      <c r="Y10" s="43">
        <v>0.71</v>
      </c>
      <c r="Z10" s="43" t="s">
        <v>136</v>
      </c>
      <c r="AA10" s="43" t="s">
        <v>118</v>
      </c>
      <c r="AB10" s="93"/>
      <c r="AC10" s="93"/>
      <c r="AD10" s="93"/>
      <c r="AE10" s="93"/>
      <c r="AF10" s="43">
        <v>2.56</v>
      </c>
      <c r="AG10" s="43" t="s">
        <v>119</v>
      </c>
      <c r="AH10" s="5"/>
      <c r="AI10" s="5"/>
      <c r="AJ10" s="4"/>
      <c r="AK10" s="4"/>
      <c r="AL10" s="60"/>
      <c r="AM10"/>
      <c r="AN10" s="50">
        <v>6420.93</v>
      </c>
      <c r="AP10" s="8" t="s">
        <v>343</v>
      </c>
      <c r="AQ10" s="8" t="s">
        <v>343</v>
      </c>
      <c r="AR1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0.46631412372044384</v>
      </c>
      <c r="AS1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1.1525113835941923</v>
      </c>
      <c r="AT1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1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0.3050227671883845</v>
      </c>
      <c r="AV1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0.58220091068753532</v>
      </c>
      <c r="AW10" s="19">
        <f>IFERROR(Table1[[#This Row],[* Practice Efficiency]]*Table1[[#This Row],[* Load Before Treatment (kg/yr)]],"")</f>
        <v>0.27148850749650244</v>
      </c>
      <c r="AX10" s="100">
        <f>Table1[[#This Row],[Manually entered practice effiency ]]*Table1[[#This Row],[* Load Before Treatment (kg/yr)]]</f>
        <v>0</v>
      </c>
      <c r="AY10" s="43" t="s">
        <v>121</v>
      </c>
      <c r="BA10" s="101">
        <v>1</v>
      </c>
      <c r="BB1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0.27148850749650244</v>
      </c>
      <c r="BC10" s="44"/>
      <c r="BD10" s="44"/>
      <c r="BJ10" s="43"/>
      <c r="BK10" s="45"/>
      <c r="BL10" s="45"/>
      <c r="BM1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0" s="19" t="str">
        <f>IFERROR(Table1[[#This Row],[* Prior Practice Efficiency]]*Table1[[#This Row],[* Prior Load Before Treatment (kg/year)]],"")</f>
        <v/>
      </c>
      <c r="BT10" s="19" t="s">
        <v>458</v>
      </c>
    </row>
    <row r="11" spans="1:72">
      <c r="A11" s="43" t="s">
        <v>459</v>
      </c>
      <c r="B11" s="43" t="s">
        <v>452</v>
      </c>
      <c r="C11" s="43" t="s">
        <v>109</v>
      </c>
      <c r="D11" s="43" t="s">
        <v>110</v>
      </c>
      <c r="G11" s="44">
        <v>0</v>
      </c>
      <c r="H11" s="44">
        <v>0</v>
      </c>
      <c r="I11" s="44">
        <v>2.5299999999999998</v>
      </c>
      <c r="J11" s="43" t="s">
        <v>162</v>
      </c>
      <c r="K11" s="66" t="s">
        <v>162</v>
      </c>
      <c r="N11" s="48"/>
      <c r="O11" s="43" t="s">
        <v>113</v>
      </c>
      <c r="Q11" s="43">
        <v>2019</v>
      </c>
      <c r="T11" s="43" t="s">
        <v>453</v>
      </c>
      <c r="U11" s="43" t="s">
        <v>134</v>
      </c>
      <c r="V11" s="43" t="str">
        <f>IFERROR(VLOOKUP(Table1[[#This Row],[LC TMDL Drainage Area]],Dropdowns!$P$3:$Q$23,2,FALSE),"")</f>
        <v>Main Lake</v>
      </c>
      <c r="W11" s="43" t="s">
        <v>115</v>
      </c>
      <c r="X11" s="43" t="s">
        <v>329</v>
      </c>
      <c r="Y11" s="43">
        <v>0.48</v>
      </c>
      <c r="Z11" s="43" t="s">
        <v>136</v>
      </c>
      <c r="AA11" s="43" t="s">
        <v>118</v>
      </c>
      <c r="AF11" s="43">
        <v>2.0499999999999998</v>
      </c>
      <c r="AG11" s="43" t="s">
        <v>119</v>
      </c>
      <c r="AH11" s="5"/>
      <c r="AI11" s="5"/>
      <c r="AJ11" s="4"/>
      <c r="AK11" s="4"/>
      <c r="AL11" s="60"/>
      <c r="AM11"/>
      <c r="AN11" s="59">
        <v>1274.8</v>
      </c>
      <c r="AO11" s="43" t="s">
        <v>330</v>
      </c>
      <c r="AP11" s="8" t="s">
        <v>343</v>
      </c>
      <c r="AQ11" s="8" t="s">
        <v>343</v>
      </c>
      <c r="AR1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0.31525461885325784</v>
      </c>
      <c r="AS1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0.46581867942462257</v>
      </c>
      <c r="AT1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0.16000000000000003</v>
      </c>
      <c r="AU1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0.32909339712311281</v>
      </c>
      <c r="AV1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0.38265494353969809</v>
      </c>
      <c r="AW11" s="19">
        <f>IFERROR(Table1[[#This Row],[* Practice Efficiency]]*Table1[[#This Row],[* Load Before Treatment (kg/yr)]],"")</f>
        <v>0.12063373837792242</v>
      </c>
      <c r="AX11" s="100">
        <f>Table1[[#This Row],[Manually entered practice effiency ]]*Table1[[#This Row],[* Load Before Treatment (kg/yr)]]</f>
        <v>0</v>
      </c>
      <c r="AY11" s="43" t="s">
        <v>121</v>
      </c>
      <c r="BA11" s="101">
        <v>1</v>
      </c>
      <c r="BB1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0.12063373837792242</v>
      </c>
      <c r="BC11" s="44"/>
      <c r="BD11" s="44"/>
      <c r="BJ11" s="43"/>
      <c r="BK11" s="45"/>
      <c r="BL11" s="45"/>
      <c r="BM1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1" s="19" t="str">
        <f>IFERROR(Table1[[#This Row],[* Prior Practice Efficiency]]*Table1[[#This Row],[* Prior Load Before Treatment (kg/year)]],"")</f>
        <v/>
      </c>
      <c r="BT11" s="19" t="s">
        <v>460</v>
      </c>
    </row>
    <row r="12" spans="1:72">
      <c r="A12" s="43" t="s">
        <v>461</v>
      </c>
      <c r="B12" s="43" t="s">
        <v>452</v>
      </c>
      <c r="C12" s="43" t="s">
        <v>109</v>
      </c>
      <c r="D12" s="43" t="s">
        <v>110</v>
      </c>
      <c r="G12" s="44">
        <v>0</v>
      </c>
      <c r="H12" s="44">
        <v>0</v>
      </c>
      <c r="I12" s="44">
        <v>2.33</v>
      </c>
      <c r="J12" s="43" t="s">
        <v>162</v>
      </c>
      <c r="K12" s="66" t="s">
        <v>162</v>
      </c>
      <c r="N12" s="48"/>
      <c r="O12" s="43" t="s">
        <v>113</v>
      </c>
      <c r="Q12" s="43">
        <v>2019</v>
      </c>
      <c r="T12" s="43" t="s">
        <v>453</v>
      </c>
      <c r="U12" s="43" t="s">
        <v>134</v>
      </c>
      <c r="V12" s="43" t="str">
        <f>IFERROR(VLOOKUP(Table1[[#This Row],[LC TMDL Drainage Area]],Dropdowns!$P$3:$Q$23,2,FALSE),"")</f>
        <v>Main Lake</v>
      </c>
      <c r="W12" s="43" t="s">
        <v>115</v>
      </c>
      <c r="X12" s="43" t="s">
        <v>165</v>
      </c>
      <c r="Y12" s="43">
        <v>0.23</v>
      </c>
      <c r="Z12" s="43" t="s">
        <v>136</v>
      </c>
      <c r="AA12" s="43" t="s">
        <v>118</v>
      </c>
      <c r="AB12" s="93"/>
      <c r="AC12" s="93"/>
      <c r="AD12" s="93"/>
      <c r="AE12" s="93"/>
      <c r="AF12" s="43">
        <v>2.1</v>
      </c>
      <c r="AG12" s="43" t="s">
        <v>119</v>
      </c>
      <c r="AH12" s="5"/>
      <c r="AI12" s="5"/>
      <c r="AJ12" s="4"/>
      <c r="AK12" s="4"/>
      <c r="AL12" s="60"/>
      <c r="AM12"/>
      <c r="AN12" s="50">
        <v>2165.87</v>
      </c>
      <c r="AP12" s="8" t="s">
        <v>343</v>
      </c>
      <c r="AQ12" s="8" t="s">
        <v>343</v>
      </c>
      <c r="AR1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0.15105950486718606</v>
      </c>
      <c r="AS1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0.8288003911480134</v>
      </c>
      <c r="AT1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1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0.14400195574006683</v>
      </c>
      <c r="AV1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0.51576007822960268</v>
      </c>
      <c r="AW12" s="19">
        <f>IFERROR(Table1[[#This Row],[* Practice Efficiency]]*Table1[[#This Row],[* Load Before Treatment (kg/yr)]],"")</f>
        <v>7.7910462047624932E-2</v>
      </c>
      <c r="AX12" s="100">
        <f>Table1[[#This Row],[Manually entered practice effiency ]]*Table1[[#This Row],[* Load Before Treatment (kg/yr)]]</f>
        <v>0</v>
      </c>
      <c r="AY12" s="43" t="s">
        <v>121</v>
      </c>
      <c r="BA12" s="101">
        <v>1</v>
      </c>
      <c r="BB1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7.7910462047624932E-2</v>
      </c>
      <c r="BC12" s="44"/>
      <c r="BD12" s="44"/>
      <c r="BJ12" s="43"/>
      <c r="BK12" s="45"/>
      <c r="BL12" s="45"/>
      <c r="BM1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2" s="19" t="str">
        <f>IFERROR(Table1[[#This Row],[* Prior Practice Efficiency]]*Table1[[#This Row],[* Prior Load Before Treatment (kg/year)]],"")</f>
        <v/>
      </c>
      <c r="BT12" s="19" t="s">
        <v>462</v>
      </c>
    </row>
    <row r="13" spans="1:72">
      <c r="A13" s="43" t="s">
        <v>463</v>
      </c>
      <c r="B13" s="43" t="s">
        <v>452</v>
      </c>
      <c r="C13" s="43" t="s">
        <v>109</v>
      </c>
      <c r="D13" s="43" t="s">
        <v>110</v>
      </c>
      <c r="G13" s="44">
        <v>0</v>
      </c>
      <c r="H13" s="44">
        <v>0</v>
      </c>
      <c r="I13" s="44">
        <v>2.86</v>
      </c>
      <c r="J13" s="43" t="s">
        <v>162</v>
      </c>
      <c r="K13" s="66" t="s">
        <v>162</v>
      </c>
      <c r="N13" s="48"/>
      <c r="O13" s="43" t="s">
        <v>113</v>
      </c>
      <c r="Q13" s="43">
        <v>2019</v>
      </c>
      <c r="T13" s="43" t="s">
        <v>453</v>
      </c>
      <c r="U13" s="43" t="s">
        <v>134</v>
      </c>
      <c r="V13" s="43" t="str">
        <f>IFERROR(VLOOKUP(Table1[[#This Row],[LC TMDL Drainage Area]],Dropdowns!$P$3:$Q$23,2,FALSE),"")</f>
        <v>Main Lake</v>
      </c>
      <c r="W13" s="43" t="s">
        <v>115</v>
      </c>
      <c r="X13" s="43" t="s">
        <v>329</v>
      </c>
      <c r="Y13" s="43">
        <v>0.46</v>
      </c>
      <c r="Z13" s="43" t="s">
        <v>136</v>
      </c>
      <c r="AA13" s="43" t="s">
        <v>118</v>
      </c>
      <c r="AF13" s="43">
        <v>2.4</v>
      </c>
      <c r="AG13" s="43" t="s">
        <v>119</v>
      </c>
      <c r="AH13" s="5"/>
      <c r="AI13" s="5"/>
      <c r="AJ13" s="4"/>
      <c r="AK13" s="4"/>
      <c r="AL13" s="60"/>
      <c r="AM13"/>
      <c r="AN13" s="59">
        <v>3149.4</v>
      </c>
      <c r="AO13" s="43" t="s">
        <v>330</v>
      </c>
      <c r="AP13" s="8" t="s">
        <v>343</v>
      </c>
      <c r="AQ13" s="8" t="s">
        <v>343</v>
      </c>
      <c r="AR1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0.30211900973437211</v>
      </c>
      <c r="AS1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0.84296526298248875</v>
      </c>
      <c r="AT1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7.0000000000000062E-2</v>
      </c>
      <c r="AU1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0.21482631491244358</v>
      </c>
      <c r="AV1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0.74503784204387102</v>
      </c>
      <c r="AW13" s="19">
        <f>IFERROR(Table1[[#This Row],[* Practice Efficiency]]*Table1[[#This Row],[* Load Before Treatment (kg/yr)]],"")</f>
        <v>0.22509009505292787</v>
      </c>
      <c r="AX13" s="100">
        <f>Table1[[#This Row],[Manually entered practice effiency ]]*Table1[[#This Row],[* Load Before Treatment (kg/yr)]]</f>
        <v>0</v>
      </c>
      <c r="AY13" s="43" t="s">
        <v>121</v>
      </c>
      <c r="BA13" s="101">
        <v>1</v>
      </c>
      <c r="BB1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0.22509009505292787</v>
      </c>
      <c r="BC13" s="44"/>
      <c r="BD13" s="44"/>
      <c r="BJ13" s="43"/>
      <c r="BK13" s="45"/>
      <c r="BL13" s="45"/>
      <c r="BM1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3" s="19" t="str">
        <f>IFERROR(Table1[[#This Row],[* Prior Practice Efficiency]]*Table1[[#This Row],[* Prior Load Before Treatment (kg/year)]],"")</f>
        <v/>
      </c>
      <c r="BT13" s="19" t="s">
        <v>464</v>
      </c>
    </row>
    <row r="14" spans="1:72">
      <c r="A14" s="43" t="s">
        <v>465</v>
      </c>
      <c r="B14" s="43" t="s">
        <v>452</v>
      </c>
      <c r="C14" s="43" t="s">
        <v>109</v>
      </c>
      <c r="D14" s="43" t="s">
        <v>110</v>
      </c>
      <c r="G14" s="44">
        <v>0</v>
      </c>
      <c r="H14" s="44">
        <v>0</v>
      </c>
      <c r="I14" s="44">
        <v>4.2</v>
      </c>
      <c r="J14" s="43" t="s">
        <v>162</v>
      </c>
      <c r="K14" s="66" t="s">
        <v>162</v>
      </c>
      <c r="N14" s="48"/>
      <c r="O14" s="43" t="s">
        <v>113</v>
      </c>
      <c r="Q14" s="43">
        <v>2019</v>
      </c>
      <c r="T14" s="43" t="s">
        <v>453</v>
      </c>
      <c r="U14" s="43" t="s">
        <v>134</v>
      </c>
      <c r="V14" s="43" t="str">
        <f>IFERROR(VLOOKUP(Table1[[#This Row],[LC TMDL Drainage Area]],Dropdowns!$P$3:$Q$23,2,FALSE),"")</f>
        <v>Main Lake</v>
      </c>
      <c r="W14" s="43" t="s">
        <v>115</v>
      </c>
      <c r="X14" s="43" t="s">
        <v>329</v>
      </c>
      <c r="Y14" s="43">
        <v>0.94</v>
      </c>
      <c r="Z14" s="43" t="s">
        <v>146</v>
      </c>
      <c r="AA14" s="43" t="s">
        <v>118</v>
      </c>
      <c r="AF14" s="43">
        <v>3.26</v>
      </c>
      <c r="AG14" s="43" t="s">
        <v>119</v>
      </c>
      <c r="AH14" s="5"/>
      <c r="AI14" s="5"/>
      <c r="AJ14" s="4"/>
      <c r="AK14" s="4"/>
      <c r="AL14" s="60"/>
      <c r="AM14"/>
      <c r="AN14" s="59">
        <v>7652.3</v>
      </c>
      <c r="AO14" s="43" t="s">
        <v>330</v>
      </c>
      <c r="AP14" s="8" t="s">
        <v>343</v>
      </c>
      <c r="AQ14" s="8" t="s">
        <v>343</v>
      </c>
      <c r="AR1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0.95692759598106636</v>
      </c>
      <c r="AS1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1.0898745283033326</v>
      </c>
      <c r="AT1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6.9999999999999951E-2</v>
      </c>
      <c r="AU1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0.17974905660666529</v>
      </c>
      <c r="AV1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0.84258243396246657</v>
      </c>
      <c r="AW14" s="19">
        <f>IFERROR(Table1[[#This Row],[* Practice Efficiency]]*Table1[[#This Row],[* Load Before Treatment (kg/yr)]],"")</f>
        <v>0.80629038294757871</v>
      </c>
      <c r="AX14" s="100">
        <f>Table1[[#This Row],[Manually entered practice effiency ]]*Table1[[#This Row],[* Load Before Treatment (kg/yr)]]</f>
        <v>0</v>
      </c>
      <c r="AY14" s="43" t="s">
        <v>121</v>
      </c>
      <c r="BA14" s="101">
        <v>1</v>
      </c>
      <c r="BB1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0.80629038294757871</v>
      </c>
      <c r="BC14" s="44"/>
      <c r="BD14" s="44"/>
      <c r="BJ14" s="43"/>
      <c r="BK14" s="45"/>
      <c r="BL14" s="45"/>
      <c r="BM1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4" s="19" t="str">
        <f>IFERROR(Table1[[#This Row],[* Prior Practice Efficiency]]*Table1[[#This Row],[* Prior Load Before Treatment (kg/year)]],"")</f>
        <v/>
      </c>
      <c r="BT14" s="19" t="s">
        <v>466</v>
      </c>
    </row>
    <row r="15" spans="1:72">
      <c r="A15" s="43" t="s">
        <v>467</v>
      </c>
      <c r="B15" s="43" t="s">
        <v>452</v>
      </c>
      <c r="C15" s="43" t="s">
        <v>109</v>
      </c>
      <c r="D15" s="43" t="s">
        <v>110</v>
      </c>
      <c r="G15" s="44">
        <v>0</v>
      </c>
      <c r="H15" s="44">
        <v>0</v>
      </c>
      <c r="I15" s="44">
        <v>0.94399999999999995</v>
      </c>
      <c r="J15" s="43" t="s">
        <v>162</v>
      </c>
      <c r="K15" s="66" t="s">
        <v>162</v>
      </c>
      <c r="N15" s="48"/>
      <c r="O15" s="43" t="s">
        <v>113</v>
      </c>
      <c r="Q15" s="43">
        <v>2019</v>
      </c>
      <c r="T15" s="43" t="s">
        <v>453</v>
      </c>
      <c r="U15" s="43" t="s">
        <v>134</v>
      </c>
      <c r="V15" s="43" t="str">
        <f>IFERROR(VLOOKUP(Table1[[#This Row],[LC TMDL Drainage Area]],Dropdowns!$P$3:$Q$23,2,FALSE),"")</f>
        <v>Main Lake</v>
      </c>
      <c r="W15" s="43" t="s">
        <v>115</v>
      </c>
      <c r="X15" s="43" t="s">
        <v>165</v>
      </c>
      <c r="Y15" s="43">
        <v>0.20200000000000001</v>
      </c>
      <c r="Z15" s="43" t="s">
        <v>136</v>
      </c>
      <c r="AA15" s="43" t="s">
        <v>118</v>
      </c>
      <c r="AB15" s="93"/>
      <c r="AC15" s="93"/>
      <c r="AD15" s="93"/>
      <c r="AE15" s="93"/>
      <c r="AF15" s="43">
        <v>0.74199999999999999</v>
      </c>
      <c r="AG15" s="43" t="s">
        <v>119</v>
      </c>
      <c r="AH15" s="5"/>
      <c r="AI15" s="5"/>
      <c r="AJ15" s="4"/>
      <c r="AK15" s="4"/>
      <c r="AL15" s="60"/>
      <c r="AM15"/>
      <c r="AN15" s="50">
        <v>3310.6</v>
      </c>
      <c r="AP15" s="8" t="s">
        <v>468</v>
      </c>
      <c r="AQ15" s="8" t="s">
        <v>468</v>
      </c>
      <c r="AR1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0.13266965210074602</v>
      </c>
      <c r="AS1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1.669278857313959</v>
      </c>
      <c r="AT1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1.0000000000000009E-2</v>
      </c>
      <c r="AU1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0.33855771462791795</v>
      </c>
      <c r="AV1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0.61338557714627917</v>
      </c>
      <c r="AW15" s="19">
        <f>IFERROR(Table1[[#This Row],[* Practice Efficiency]]*Table1[[#This Row],[* Load Before Treatment (kg/yr)]],"")</f>
        <v>8.1377651123612171E-2</v>
      </c>
      <c r="AX15" s="100">
        <f>Table1[[#This Row],[Manually entered practice effiency ]]*Table1[[#This Row],[* Load Before Treatment (kg/yr)]]</f>
        <v>0</v>
      </c>
      <c r="AY15" s="43" t="s">
        <v>121</v>
      </c>
      <c r="BA15" s="101">
        <v>1</v>
      </c>
      <c r="BB1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8.1377651123612171E-2</v>
      </c>
      <c r="BC15" s="44"/>
      <c r="BD15" s="44"/>
      <c r="BJ15" s="43"/>
      <c r="BK15" s="45"/>
      <c r="BL15" s="45"/>
      <c r="BM1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5" s="19" t="str">
        <f>IFERROR(Table1[[#This Row],[* Prior Practice Efficiency]]*Table1[[#This Row],[* Prior Load Before Treatment (kg/year)]],"")</f>
        <v/>
      </c>
      <c r="BT15" s="19" t="s">
        <v>469</v>
      </c>
    </row>
    <row r="16" spans="1:72">
      <c r="A16" s="43" t="s">
        <v>470</v>
      </c>
      <c r="B16" s="43" t="s">
        <v>452</v>
      </c>
      <c r="C16" s="43" t="s">
        <v>109</v>
      </c>
      <c r="D16" s="43" t="s">
        <v>110</v>
      </c>
      <c r="G16" s="44">
        <v>0</v>
      </c>
      <c r="H16" s="44">
        <v>0</v>
      </c>
      <c r="I16" s="44">
        <v>1.198</v>
      </c>
      <c r="J16" s="43" t="s">
        <v>162</v>
      </c>
      <c r="K16" s="66" t="s">
        <v>162</v>
      </c>
      <c r="N16" s="48"/>
      <c r="O16" s="43" t="s">
        <v>113</v>
      </c>
      <c r="Q16" s="43">
        <v>2019</v>
      </c>
      <c r="T16" s="43" t="s">
        <v>453</v>
      </c>
      <c r="U16" s="43" t="s">
        <v>134</v>
      </c>
      <c r="V16" s="43" t="str">
        <f>IFERROR(VLOOKUP(Table1[[#This Row],[LC TMDL Drainage Area]],Dropdowns!$P$3:$Q$23,2,FALSE),"")</f>
        <v>Main Lake</v>
      </c>
      <c r="W16" s="43" t="s">
        <v>115</v>
      </c>
      <c r="X16" s="43" t="s">
        <v>165</v>
      </c>
      <c r="Y16" s="43">
        <v>0.318</v>
      </c>
      <c r="Z16" s="43" t="s">
        <v>136</v>
      </c>
      <c r="AA16" s="43" t="s">
        <v>118</v>
      </c>
      <c r="AB16" s="93"/>
      <c r="AC16" s="93"/>
      <c r="AD16" s="93"/>
      <c r="AE16" s="93"/>
      <c r="AF16" s="43">
        <v>0.872</v>
      </c>
      <c r="AG16" s="43" t="s">
        <v>119</v>
      </c>
      <c r="AH16" s="5"/>
      <c r="AI16" s="5"/>
      <c r="AJ16" s="4"/>
      <c r="AK16" s="4"/>
      <c r="AL16" s="60"/>
      <c r="AM16"/>
      <c r="AN16" s="50">
        <v>3492.87</v>
      </c>
      <c r="AP16" s="8" t="s">
        <v>343</v>
      </c>
      <c r="AQ16" s="8" t="s">
        <v>343</v>
      </c>
      <c r="AR1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0.2088561849902833</v>
      </c>
      <c r="AS1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1.440611961988683</v>
      </c>
      <c r="AT1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1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0.88122392397736604</v>
      </c>
      <c r="AV1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0.60524895695909464</v>
      </c>
      <c r="AW16" s="19">
        <f>IFERROR(Table1[[#This Row],[* Practice Efficiency]]*Table1[[#This Row],[* Load Before Treatment (kg/yr)]],"")</f>
        <v>0.12640998811982468</v>
      </c>
      <c r="AX16" s="100">
        <f>Table1[[#This Row],[Manually entered practice effiency ]]*Table1[[#This Row],[* Load Before Treatment (kg/yr)]]</f>
        <v>0</v>
      </c>
      <c r="AY16" s="43" t="s">
        <v>121</v>
      </c>
      <c r="BA16" s="101">
        <v>1</v>
      </c>
      <c r="BB1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0.12640998811982468</v>
      </c>
      <c r="BC16" s="44"/>
      <c r="BD16" s="44"/>
      <c r="BJ16" s="43"/>
      <c r="BK16" s="45"/>
      <c r="BL16" s="45"/>
      <c r="BM1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6" s="19" t="str">
        <f>IFERROR(Table1[[#This Row],[* Prior Practice Efficiency]]*Table1[[#This Row],[* Prior Load Before Treatment (kg/year)]],"")</f>
        <v/>
      </c>
      <c r="BT16" s="19" t="s">
        <v>471</v>
      </c>
    </row>
    <row r="17" spans="1:72">
      <c r="A17" s="43" t="s">
        <v>472</v>
      </c>
      <c r="B17" s="43" t="s">
        <v>452</v>
      </c>
      <c r="C17" s="43" t="s">
        <v>109</v>
      </c>
      <c r="D17" s="43" t="s">
        <v>110</v>
      </c>
      <c r="G17" s="44">
        <v>0</v>
      </c>
      <c r="H17" s="44">
        <v>0</v>
      </c>
      <c r="I17" s="44">
        <v>1.7050000000000001</v>
      </c>
      <c r="J17" s="43" t="s">
        <v>162</v>
      </c>
      <c r="K17" s="66" t="s">
        <v>162</v>
      </c>
      <c r="N17" s="48"/>
      <c r="O17" s="43" t="s">
        <v>113</v>
      </c>
      <c r="Q17" s="43">
        <v>2019</v>
      </c>
      <c r="T17" s="43" t="s">
        <v>453</v>
      </c>
      <c r="U17" s="43" t="s">
        <v>134</v>
      </c>
      <c r="V17" s="43" t="str">
        <f>IFERROR(VLOOKUP(Table1[[#This Row],[LC TMDL Drainage Area]],Dropdowns!$P$3:$Q$23,2,FALSE),"")</f>
        <v>Main Lake</v>
      </c>
      <c r="W17" s="43" t="s">
        <v>115</v>
      </c>
      <c r="X17" s="43" t="s">
        <v>165</v>
      </c>
      <c r="Y17" s="43">
        <v>0.41399999999999998</v>
      </c>
      <c r="Z17" s="43" t="s">
        <v>136</v>
      </c>
      <c r="AA17" s="43" t="s">
        <v>118</v>
      </c>
      <c r="AB17" s="93"/>
      <c r="AC17" s="93"/>
      <c r="AD17" s="93"/>
      <c r="AE17" s="93"/>
      <c r="AF17" s="43">
        <v>1.2909999999999999</v>
      </c>
      <c r="AG17" s="43" t="s">
        <v>119</v>
      </c>
      <c r="AH17" s="5"/>
      <c r="AI17" s="5"/>
      <c r="AJ17" s="4"/>
      <c r="AK17" s="4"/>
      <c r="AL17" s="60"/>
      <c r="AM17"/>
      <c r="AN17" s="50">
        <v>4342.3500000000004</v>
      </c>
      <c r="AP17" s="8" t="s">
        <v>343</v>
      </c>
      <c r="AQ17" s="8" t="s">
        <v>343</v>
      </c>
      <c r="AR1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0.27190710876093488</v>
      </c>
      <c r="AS1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1.3363970524422324</v>
      </c>
      <c r="AT1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1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0.67279410488446478</v>
      </c>
      <c r="AV1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0.59691176419537861</v>
      </c>
      <c r="AW17" s="19">
        <f>IFERROR(Table1[[#This Row],[* Practice Efficiency]]*Table1[[#This Row],[* Load Before Treatment (kg/yr)]],"")</f>
        <v>0.16230455198775431</v>
      </c>
      <c r="AX17" s="100">
        <f>Table1[[#This Row],[Manually entered practice effiency ]]*Table1[[#This Row],[* Load Before Treatment (kg/yr)]]</f>
        <v>0</v>
      </c>
      <c r="AY17" s="43" t="s">
        <v>121</v>
      </c>
      <c r="BA17" s="101">
        <v>1</v>
      </c>
      <c r="BB1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0.16230455198775431</v>
      </c>
      <c r="BC17" s="44"/>
      <c r="BD17" s="44"/>
      <c r="BJ17" s="43"/>
      <c r="BK17" s="45"/>
      <c r="BL17" s="45"/>
      <c r="BM1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7" s="19" t="str">
        <f>IFERROR(Table1[[#This Row],[* Prior Practice Efficiency]]*Table1[[#This Row],[* Prior Load Before Treatment (kg/year)]],"")</f>
        <v/>
      </c>
      <c r="BT17" s="19" t="s">
        <v>473</v>
      </c>
    </row>
    <row r="18" spans="1:72">
      <c r="A18" s="43" t="s">
        <v>474</v>
      </c>
      <c r="B18" s="43" t="s">
        <v>452</v>
      </c>
      <c r="C18" s="43" t="s">
        <v>109</v>
      </c>
      <c r="D18" s="43" t="s">
        <v>110</v>
      </c>
      <c r="G18" s="44">
        <v>0</v>
      </c>
      <c r="H18" s="44">
        <v>0</v>
      </c>
      <c r="I18" s="44">
        <v>1.669</v>
      </c>
      <c r="J18" s="43" t="s">
        <v>162</v>
      </c>
      <c r="K18" s="66" t="s">
        <v>162</v>
      </c>
      <c r="N18" s="48"/>
      <c r="O18" s="43" t="s">
        <v>113</v>
      </c>
      <c r="Q18" s="43">
        <v>2019</v>
      </c>
      <c r="T18" s="43" t="s">
        <v>453</v>
      </c>
      <c r="U18" s="43" t="s">
        <v>134</v>
      </c>
      <c r="V18" s="43" t="str">
        <f>IFERROR(VLOOKUP(Table1[[#This Row],[LC TMDL Drainage Area]],Dropdowns!$P$3:$Q$23,2,FALSE),"")</f>
        <v>Main Lake</v>
      </c>
      <c r="W18" s="43" t="s">
        <v>115</v>
      </c>
      <c r="X18" s="43" t="s">
        <v>165</v>
      </c>
      <c r="Y18" s="43">
        <v>0.35199999999999998</v>
      </c>
      <c r="Z18" s="43" t="s">
        <v>136</v>
      </c>
      <c r="AA18" s="43" t="s">
        <v>118</v>
      </c>
      <c r="AB18" s="93"/>
      <c r="AC18" s="93"/>
      <c r="AD18" s="93"/>
      <c r="AE18" s="93"/>
      <c r="AF18" s="43">
        <v>1.3169999999999999</v>
      </c>
      <c r="AG18" s="43" t="s">
        <v>119</v>
      </c>
      <c r="AH18" s="5"/>
      <c r="AI18" s="5"/>
      <c r="AJ18" s="4"/>
      <c r="AK18" s="4"/>
      <c r="AL18" s="60"/>
      <c r="AM18"/>
      <c r="AN18" s="50">
        <v>8458.07</v>
      </c>
      <c r="AP18" s="8" t="s">
        <v>343</v>
      </c>
      <c r="AQ18" s="8" t="s">
        <v>343</v>
      </c>
      <c r="AR1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0.23118672049238906</v>
      </c>
      <c r="AS1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2</v>
      </c>
      <c r="AT18"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1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0.65</v>
      </c>
      <c r="AW18" s="19">
        <f>IFERROR(Table1[[#This Row],[* Practice Efficiency]]*Table1[[#This Row],[* Load Before Treatment (kg/yr)]],"")</f>
        <v>0.15027136832005289</v>
      </c>
      <c r="AX18" s="100">
        <f>Table1[[#This Row],[Manually entered practice effiency ]]*Table1[[#This Row],[* Load Before Treatment (kg/yr)]]</f>
        <v>0</v>
      </c>
      <c r="AY18" s="43" t="s">
        <v>121</v>
      </c>
      <c r="BA18" s="101">
        <v>1</v>
      </c>
      <c r="BB1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0.15027136832005289</v>
      </c>
      <c r="BC18" s="44"/>
      <c r="BD18" s="44"/>
      <c r="BJ18" s="43"/>
      <c r="BK18" s="45"/>
      <c r="BL18" s="45"/>
      <c r="BM1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8" s="19" t="str">
        <f>IFERROR(Table1[[#This Row],[* Prior Practice Efficiency]]*Table1[[#This Row],[* Prior Load Before Treatment (kg/year)]],"")</f>
        <v/>
      </c>
      <c r="BT18" s="19" t="s">
        <v>475</v>
      </c>
    </row>
    <row r="19" spans="1:72">
      <c r="A19" s="43" t="s">
        <v>476</v>
      </c>
      <c r="B19" s="43" t="s">
        <v>452</v>
      </c>
      <c r="C19" s="43" t="s">
        <v>109</v>
      </c>
      <c r="D19" s="43" t="s">
        <v>110</v>
      </c>
      <c r="G19" s="44">
        <v>0</v>
      </c>
      <c r="H19" s="44">
        <v>0</v>
      </c>
      <c r="I19" s="44">
        <v>1.272</v>
      </c>
      <c r="J19" s="43" t="s">
        <v>162</v>
      </c>
      <c r="K19" s="66" t="s">
        <v>162</v>
      </c>
      <c r="N19" s="48"/>
      <c r="O19" s="43" t="s">
        <v>113</v>
      </c>
      <c r="Q19" s="43">
        <v>2019</v>
      </c>
      <c r="T19" s="43" t="s">
        <v>453</v>
      </c>
      <c r="U19" s="43" t="s">
        <v>134</v>
      </c>
      <c r="V19" s="43" t="str">
        <f>IFERROR(VLOOKUP(Table1[[#This Row],[LC TMDL Drainage Area]],Dropdowns!$P$3:$Q$23,2,FALSE),"")</f>
        <v>Main Lake</v>
      </c>
      <c r="W19" s="43" t="s">
        <v>115</v>
      </c>
      <c r="X19" s="43" t="s">
        <v>165</v>
      </c>
      <c r="Y19" s="43">
        <v>0.26500000000000001</v>
      </c>
      <c r="Z19" s="43" t="s">
        <v>146</v>
      </c>
      <c r="AA19" s="43" t="s">
        <v>118</v>
      </c>
      <c r="AB19" s="93"/>
      <c r="AC19" s="93"/>
      <c r="AD19" s="93"/>
      <c r="AE19" s="93"/>
      <c r="AF19" s="43">
        <v>1.0069999999999999</v>
      </c>
      <c r="AG19" s="43" t="s">
        <v>119</v>
      </c>
      <c r="AH19" s="5"/>
      <c r="AI19" s="5"/>
      <c r="AJ19" s="4"/>
      <c r="AK19" s="4"/>
      <c r="AL19" s="60"/>
      <c r="AM19"/>
      <c r="AN19" s="50">
        <v>2412.67</v>
      </c>
      <c r="AP19" s="8" t="s">
        <v>196</v>
      </c>
      <c r="AQ19" s="8" t="s">
        <v>196</v>
      </c>
      <c r="AR1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0.26977214142019429</v>
      </c>
      <c r="AS1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1.1362625638284884</v>
      </c>
      <c r="AT1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1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0.2725251276569769</v>
      </c>
      <c r="AV1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0.58090100510627907</v>
      </c>
      <c r="AW19" s="19">
        <f>IFERROR(Table1[[#This Row],[* Practice Efficiency]]*Table1[[#This Row],[* Load Before Treatment (kg/yr)]],"")</f>
        <v>0.15671090810066413</v>
      </c>
      <c r="AX19" s="100">
        <f>Table1[[#This Row],[Manually entered practice effiency ]]*Table1[[#This Row],[* Load Before Treatment (kg/yr)]]</f>
        <v>0</v>
      </c>
      <c r="AY19" s="43" t="s">
        <v>121</v>
      </c>
      <c r="BA19" s="101">
        <v>1</v>
      </c>
      <c r="BB1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0.15671090810066413</v>
      </c>
      <c r="BC19" s="44"/>
      <c r="BD19" s="44"/>
      <c r="BJ19" s="43"/>
      <c r="BK19" s="45"/>
      <c r="BL19" s="45"/>
      <c r="BM1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9" s="19" t="str">
        <f>IFERROR(Table1[[#This Row],[* Prior Practice Efficiency]]*Table1[[#This Row],[* Prior Load Before Treatment (kg/year)]],"")</f>
        <v/>
      </c>
      <c r="BT19" s="19" t="s">
        <v>477</v>
      </c>
    </row>
    <row r="20" spans="1:72">
      <c r="A20" s="43" t="s">
        <v>478</v>
      </c>
      <c r="B20" s="43" t="s">
        <v>452</v>
      </c>
      <c r="C20" s="43" t="s">
        <v>109</v>
      </c>
      <c r="D20" s="43" t="s">
        <v>110</v>
      </c>
      <c r="G20" s="44">
        <v>0</v>
      </c>
      <c r="H20" s="44">
        <v>0</v>
      </c>
      <c r="I20" s="44">
        <v>26.51</v>
      </c>
      <c r="J20" s="43" t="s">
        <v>162</v>
      </c>
      <c r="K20" s="66" t="s">
        <v>162</v>
      </c>
      <c r="N20" s="48"/>
      <c r="O20" s="43" t="s">
        <v>113</v>
      </c>
      <c r="Q20" s="43">
        <v>2019</v>
      </c>
      <c r="T20" s="43" t="s">
        <v>453</v>
      </c>
      <c r="U20" s="43" t="s">
        <v>134</v>
      </c>
      <c r="V20" s="43" t="str">
        <f>IFERROR(VLOOKUP(Table1[[#This Row],[LC TMDL Drainage Area]],Dropdowns!$P$3:$Q$23,2,FALSE),"")</f>
        <v>Main Lake</v>
      </c>
      <c r="W20" s="43" t="s">
        <v>115</v>
      </c>
      <c r="X20" s="43" t="s">
        <v>116</v>
      </c>
      <c r="Y20" s="43">
        <v>4.37</v>
      </c>
      <c r="Z20" s="43" t="s">
        <v>117</v>
      </c>
      <c r="AA20" s="43" t="s">
        <v>118</v>
      </c>
      <c r="AB20" s="93"/>
      <c r="AC20" s="93"/>
      <c r="AD20" s="93"/>
      <c r="AE20" s="93"/>
      <c r="AF20" s="43">
        <v>22.14</v>
      </c>
      <c r="AG20" s="43" t="s">
        <v>299</v>
      </c>
      <c r="AH20" s="5"/>
      <c r="AI20" s="5"/>
      <c r="AJ20" s="4"/>
      <c r="AK20" s="4"/>
      <c r="AL20" s="60"/>
      <c r="AM20"/>
      <c r="AN20" s="50">
        <v>39088.5</v>
      </c>
      <c r="AP20" s="8" t="s">
        <v>166</v>
      </c>
      <c r="AQ20" s="8" t="s">
        <v>479</v>
      </c>
      <c r="AR2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7.5193018934158138</v>
      </c>
      <c r="AS2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1.0114998628345517</v>
      </c>
      <c r="AT2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4.9999999999999933E-2</v>
      </c>
      <c r="AU2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2.2999725669103466E-2</v>
      </c>
      <c r="AV2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0.48114998628345518</v>
      </c>
      <c r="AW20" s="19">
        <f>IFERROR(Table1[[#This Row],[* Practice Efficiency]]*Table1[[#This Row],[* Load Before Treatment (kg/yr)]],"")</f>
        <v>3.6179120028781773</v>
      </c>
      <c r="AX20" s="100">
        <f>Table1[[#This Row],[Manually entered practice effiency ]]*Table1[[#This Row],[* Load Before Treatment (kg/yr)]]</f>
        <v>0</v>
      </c>
      <c r="AY20" s="43" t="s">
        <v>121</v>
      </c>
      <c r="BA20" s="101">
        <v>1</v>
      </c>
      <c r="BB2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3.6179120028781773</v>
      </c>
      <c r="BC20" s="44"/>
      <c r="BD20" s="44"/>
      <c r="BJ20" s="43"/>
      <c r="BK20" s="45"/>
      <c r="BL20" s="45"/>
      <c r="BM2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0" s="19" t="str">
        <f>IFERROR(Table1[[#This Row],[* Prior Practice Efficiency]]*Table1[[#This Row],[* Prior Load Before Treatment (kg/year)]],"")</f>
        <v/>
      </c>
      <c r="BT20" s="19" t="s">
        <v>480</v>
      </c>
    </row>
    <row r="21" spans="1:72">
      <c r="A21" s="43" t="s">
        <v>506</v>
      </c>
      <c r="B21" s="43" t="s">
        <v>507</v>
      </c>
      <c r="C21" s="43" t="s">
        <v>109</v>
      </c>
      <c r="D21" s="43" t="s">
        <v>110</v>
      </c>
      <c r="G21" s="44">
        <v>0.01</v>
      </c>
      <c r="H21" s="44">
        <v>0</v>
      </c>
      <c r="I21" s="44">
        <v>0.18</v>
      </c>
      <c r="J21" s="43" t="s">
        <v>508</v>
      </c>
      <c r="K21" s="203" t="s">
        <v>112</v>
      </c>
      <c r="N21" s="48"/>
      <c r="O21" s="43" t="s">
        <v>113</v>
      </c>
      <c r="Q21" s="43">
        <v>2022</v>
      </c>
      <c r="U21" s="43" t="s">
        <v>206</v>
      </c>
      <c r="V21" s="43" t="s">
        <v>509</v>
      </c>
      <c r="W21" s="43" t="s">
        <v>115</v>
      </c>
      <c r="X21" s="43" t="s">
        <v>124</v>
      </c>
      <c r="Y21" s="43">
        <v>0.13</v>
      </c>
      <c r="Z21" s="43" t="s">
        <v>136</v>
      </c>
      <c r="AA21" s="43" t="s">
        <v>118</v>
      </c>
      <c r="AF21" s="43">
        <v>0.05</v>
      </c>
      <c r="AG21" s="43" t="s">
        <v>119</v>
      </c>
      <c r="AH21" s="203"/>
      <c r="AI21" s="203"/>
      <c r="AJ21" s="203"/>
      <c r="AK21" s="203"/>
      <c r="AL21" s="204"/>
      <c r="AM21"/>
      <c r="AN21" s="50">
        <v>137.21400000000003</v>
      </c>
      <c r="AP21" s="205"/>
      <c r="AQ21" s="205"/>
      <c r="AR2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8.6168089213896501E-2</v>
      </c>
      <c r="AS2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0.28176645969875724</v>
      </c>
      <c r="AT2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0.40883229849378616</v>
      </c>
      <c r="AV2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3.6353291939751439E-2</v>
      </c>
      <c r="AW21" s="19">
        <f>IFERROR(Table1[[#This Row],[* Practice Efficiency]]*Table1[[#This Row],[* Load Before Treatment (kg/yr)]],"")</f>
        <v>3.1324937030833265E-3</v>
      </c>
      <c r="AX21" s="100">
        <v>0</v>
      </c>
      <c r="AY21" s="44" t="s">
        <v>121</v>
      </c>
      <c r="BA21" s="101">
        <v>1</v>
      </c>
      <c r="BB2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3.1324937030833265E-3</v>
      </c>
      <c r="BC21" s="44"/>
      <c r="BD21" s="44"/>
      <c r="BJ21" s="43"/>
      <c r="BK21" s="45"/>
      <c r="BL21" s="45"/>
      <c r="BM2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1" s="19" t="str">
        <f>IFERROR(Table1[[#This Row],[* Prior Practice Efficiency]]*Table1[[#This Row],[* Prior Load Before Treatment (kg/year)]],"")</f>
        <v/>
      </c>
      <c r="BT21" s="19" t="s">
        <v>510</v>
      </c>
    </row>
    <row r="22" spans="1:72">
      <c r="A22" s="43" t="s">
        <v>511</v>
      </c>
      <c r="B22" s="43" t="s">
        <v>507</v>
      </c>
      <c r="C22" s="43" t="s">
        <v>109</v>
      </c>
      <c r="D22" s="43" t="s">
        <v>110</v>
      </c>
      <c r="G22" s="44">
        <v>0.01</v>
      </c>
      <c r="H22" s="44">
        <v>0</v>
      </c>
      <c r="I22" s="44">
        <v>7.0000000000000007E-2</v>
      </c>
      <c r="J22" s="43" t="s">
        <v>508</v>
      </c>
      <c r="K22" s="203" t="s">
        <v>112</v>
      </c>
      <c r="N22" s="48"/>
      <c r="O22" s="43" t="s">
        <v>113</v>
      </c>
      <c r="Q22" s="43">
        <v>2022</v>
      </c>
      <c r="U22" s="43" t="s">
        <v>206</v>
      </c>
      <c r="V22" s="43" t="s">
        <v>509</v>
      </c>
      <c r="W22" s="43" t="s">
        <v>115</v>
      </c>
      <c r="X22" s="43" t="s">
        <v>124</v>
      </c>
      <c r="Y22" s="43">
        <v>0.05</v>
      </c>
      <c r="Z22" s="43" t="s">
        <v>136</v>
      </c>
      <c r="AA22" s="43" t="s">
        <v>118</v>
      </c>
      <c r="AF22" s="43">
        <v>0.02</v>
      </c>
      <c r="AG22" s="43" t="s">
        <v>119</v>
      </c>
      <c r="AH22" s="203"/>
      <c r="AI22" s="203"/>
      <c r="AJ22" s="203"/>
      <c r="AK22" s="203"/>
      <c r="AL22" s="204"/>
      <c r="AM22"/>
      <c r="AN22" s="50">
        <v>38.623200000000004</v>
      </c>
      <c r="AP22" s="205"/>
      <c r="AQ22" s="205"/>
      <c r="AR2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3.3141572774575578E-2</v>
      </c>
      <c r="AS2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0.20759314241575133</v>
      </c>
      <c r="AT2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3.7965712078756597E-2</v>
      </c>
      <c r="AV2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2.1518628483150264E-2</v>
      </c>
      <c r="AW22" s="19">
        <f>IFERROR(Table1[[#This Row],[* Practice Efficiency]]*Table1[[#This Row],[* Load Before Treatment (kg/yr)]],"")</f>
        <v>7.1316119188337933E-4</v>
      </c>
      <c r="AX22" s="100">
        <v>0</v>
      </c>
      <c r="AY22" s="44" t="s">
        <v>121</v>
      </c>
      <c r="BA22" s="101">
        <v>1</v>
      </c>
      <c r="BB2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7.1316119188337933E-4</v>
      </c>
      <c r="BC22" s="44"/>
      <c r="BD22" s="44"/>
      <c r="BJ22" s="43"/>
      <c r="BK22" s="45"/>
      <c r="BL22" s="45"/>
      <c r="BM2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2" s="19" t="str">
        <f>IFERROR(Table1[[#This Row],[* Prior Practice Efficiency]]*Table1[[#This Row],[* Prior Load Before Treatment (kg/year)]],"")</f>
        <v/>
      </c>
      <c r="BT22" s="19" t="s">
        <v>510</v>
      </c>
    </row>
    <row r="23" spans="1:72">
      <c r="A23" s="43" t="s">
        <v>512</v>
      </c>
      <c r="B23" s="43" t="s">
        <v>507</v>
      </c>
      <c r="C23" s="43" t="s">
        <v>109</v>
      </c>
      <c r="D23" s="43" t="s">
        <v>110</v>
      </c>
      <c r="G23" s="44">
        <v>0.01</v>
      </c>
      <c r="H23" s="44">
        <v>0</v>
      </c>
      <c r="I23" s="44">
        <v>0.33</v>
      </c>
      <c r="J23" s="43" t="s">
        <v>508</v>
      </c>
      <c r="K23" s="203" t="s">
        <v>112</v>
      </c>
      <c r="N23" s="48"/>
      <c r="O23" s="43" t="s">
        <v>113</v>
      </c>
      <c r="Q23" s="43">
        <v>2022</v>
      </c>
      <c r="U23" s="43" t="s">
        <v>206</v>
      </c>
      <c r="V23" s="43" t="s">
        <v>509</v>
      </c>
      <c r="W23" s="43" t="s">
        <v>115</v>
      </c>
      <c r="X23" s="43" t="s">
        <v>124</v>
      </c>
      <c r="Y23" s="43">
        <v>0.14000000000000001</v>
      </c>
      <c r="Z23" s="43" t="s">
        <v>136</v>
      </c>
      <c r="AA23" s="43" t="s">
        <v>118</v>
      </c>
      <c r="AF23" s="43">
        <v>0.19</v>
      </c>
      <c r="AG23" s="43" t="s">
        <v>119</v>
      </c>
      <c r="AH23" s="203"/>
      <c r="AI23" s="203"/>
      <c r="AJ23" s="203"/>
      <c r="AK23" s="203"/>
      <c r="AL23" s="204"/>
      <c r="AM23"/>
      <c r="AN23" s="50">
        <v>139.69919999999999</v>
      </c>
      <c r="AP23" s="205"/>
      <c r="AQ23" s="205"/>
      <c r="AR2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9.2796403768811625E-2</v>
      </c>
      <c r="AS2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0.2497188429434459</v>
      </c>
      <c r="AT2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0.24859421471722945</v>
      </c>
      <c r="AV2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2.9943768588689176E-2</v>
      </c>
      <c r="AW23" s="19">
        <f>IFERROR(Table1[[#This Row],[* Practice Efficiency]]*Table1[[#This Row],[* Load Before Treatment (kg/yr)]],"")</f>
        <v>2.7786740403158592E-3</v>
      </c>
      <c r="AX23" s="100">
        <v>0</v>
      </c>
      <c r="AY23" s="44" t="s">
        <v>121</v>
      </c>
      <c r="BA23" s="101">
        <v>1</v>
      </c>
      <c r="BB2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2.7786740403158592E-3</v>
      </c>
      <c r="BC23" s="44"/>
      <c r="BD23" s="44"/>
      <c r="BJ23" s="43"/>
      <c r="BK23" s="45"/>
      <c r="BL23" s="45"/>
      <c r="BM2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3" s="19" t="str">
        <f>IFERROR(Table1[[#This Row],[* Prior Practice Efficiency]]*Table1[[#This Row],[* Prior Load Before Treatment (kg/year)]],"")</f>
        <v/>
      </c>
      <c r="BT23" s="19" t="s">
        <v>510</v>
      </c>
    </row>
    <row r="24" spans="1:72">
      <c r="A24" s="43" t="s">
        <v>513</v>
      </c>
      <c r="B24" s="43" t="s">
        <v>507</v>
      </c>
      <c r="C24" s="43" t="s">
        <v>109</v>
      </c>
      <c r="D24" s="43" t="s">
        <v>110</v>
      </c>
      <c r="G24" s="44">
        <v>0.01</v>
      </c>
      <c r="H24" s="44">
        <v>0</v>
      </c>
      <c r="I24" s="44">
        <v>0.22</v>
      </c>
      <c r="J24" s="43" t="s">
        <v>508</v>
      </c>
      <c r="K24" s="43" t="s">
        <v>148</v>
      </c>
      <c r="N24" s="48"/>
      <c r="O24" s="43" t="s">
        <v>113</v>
      </c>
      <c r="Q24" s="43">
        <v>2022</v>
      </c>
      <c r="U24" s="43" t="s">
        <v>206</v>
      </c>
      <c r="V24" s="43" t="s">
        <v>509</v>
      </c>
      <c r="W24" s="43" t="s">
        <v>115</v>
      </c>
      <c r="X24" s="43" t="s">
        <v>124</v>
      </c>
      <c r="Y24" s="43">
        <v>0.16</v>
      </c>
      <c r="Z24" s="43" t="s">
        <v>136</v>
      </c>
      <c r="AA24" s="43" t="s">
        <v>118</v>
      </c>
      <c r="AF24" s="43">
        <v>0.06</v>
      </c>
      <c r="AG24" s="43" t="s">
        <v>119</v>
      </c>
      <c r="AH24" s="203"/>
      <c r="AI24" s="203"/>
      <c r="AJ24" s="203"/>
      <c r="AK24" s="203"/>
      <c r="AL24" s="204"/>
      <c r="AM24"/>
      <c r="AN24" s="50">
        <v>154.6875</v>
      </c>
      <c r="AP24" s="205"/>
      <c r="AQ24" s="205"/>
      <c r="AR2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0.10605303287864186</v>
      </c>
      <c r="AS2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0.25888057296760214</v>
      </c>
      <c r="AT2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0.29440286483801065</v>
      </c>
      <c r="AV2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3.1776114593520421E-2</v>
      </c>
      <c r="AW24" s="19">
        <f>IFERROR(Table1[[#This Row],[* Practice Efficiency]]*Table1[[#This Row],[* Load Before Treatment (kg/yr)]],"")</f>
        <v>3.3699533257421127E-3</v>
      </c>
      <c r="AX24" s="100">
        <v>0</v>
      </c>
      <c r="AY24" s="44" t="s">
        <v>121</v>
      </c>
      <c r="BA24" s="101">
        <v>1</v>
      </c>
      <c r="BB2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3.3699533257421127E-3</v>
      </c>
      <c r="BC24" s="44"/>
      <c r="BD24" s="44"/>
      <c r="BJ24" s="43"/>
      <c r="BK24" s="45"/>
      <c r="BL24" s="45"/>
      <c r="BM2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4" s="19" t="str">
        <f>IFERROR(Table1[[#This Row],[* Prior Practice Efficiency]]*Table1[[#This Row],[* Prior Load Before Treatment (kg/year)]],"")</f>
        <v/>
      </c>
      <c r="BT24" s="19" t="s">
        <v>510</v>
      </c>
    </row>
    <row r="25" spans="1:72">
      <c r="A25" s="43" t="s">
        <v>514</v>
      </c>
      <c r="B25" s="43" t="s">
        <v>507</v>
      </c>
      <c r="C25" s="43" t="s">
        <v>109</v>
      </c>
      <c r="D25" s="43" t="s">
        <v>110</v>
      </c>
      <c r="G25" s="44">
        <v>0.01</v>
      </c>
      <c r="H25" s="44">
        <v>0</v>
      </c>
      <c r="I25" s="44">
        <v>0.1</v>
      </c>
      <c r="J25" s="43" t="s">
        <v>508</v>
      </c>
      <c r="K25" s="203" t="s">
        <v>148</v>
      </c>
      <c r="N25" s="48"/>
      <c r="O25" s="43" t="s">
        <v>113</v>
      </c>
      <c r="Q25" s="43">
        <v>2022</v>
      </c>
      <c r="U25" s="43" t="s">
        <v>206</v>
      </c>
      <c r="V25" s="43" t="s">
        <v>509</v>
      </c>
      <c r="W25" s="43" t="s">
        <v>115</v>
      </c>
      <c r="X25" s="43" t="s">
        <v>124</v>
      </c>
      <c r="Y25" s="43">
        <v>7.0000000000000007E-2</v>
      </c>
      <c r="Z25" s="43" t="s">
        <v>136</v>
      </c>
      <c r="AA25" s="43" t="s">
        <v>118</v>
      </c>
      <c r="AF25" s="43">
        <v>0.03</v>
      </c>
      <c r="AG25" s="43" t="s">
        <v>119</v>
      </c>
      <c r="AH25" s="203"/>
      <c r="AI25" s="203"/>
      <c r="AJ25" s="203"/>
      <c r="AK25" s="203"/>
      <c r="AL25" s="204"/>
      <c r="AM25"/>
      <c r="AN25" s="50">
        <v>62.927999999999997</v>
      </c>
      <c r="AP25" s="205"/>
      <c r="AQ25" s="205"/>
      <c r="AR2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4.6398201884405813E-2</v>
      </c>
      <c r="AS2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0.240269648922461</v>
      </c>
      <c r="AT2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0.20134824461230494</v>
      </c>
      <c r="AV2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2.8053929784492199E-2</v>
      </c>
      <c r="AW25" s="19">
        <f>IFERROR(Table1[[#This Row],[* Practice Efficiency]]*Table1[[#This Row],[* Load Before Treatment (kg/yr)]],"")</f>
        <v>1.3016518977918142E-3</v>
      </c>
      <c r="AX25" s="100">
        <v>0</v>
      </c>
      <c r="AY25" s="44" t="s">
        <v>121</v>
      </c>
      <c r="BA25" s="101">
        <v>1</v>
      </c>
      <c r="BB2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1.3016518977918142E-3</v>
      </c>
      <c r="BC25" s="44"/>
      <c r="BD25" s="44"/>
      <c r="BJ25" s="43"/>
      <c r="BK25" s="45"/>
      <c r="BL25" s="45"/>
      <c r="BM2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5" s="19" t="str">
        <f>IFERROR(Table1[[#This Row],[* Prior Practice Efficiency]]*Table1[[#This Row],[* Prior Load Before Treatment (kg/year)]],"")</f>
        <v/>
      </c>
      <c r="BT25" s="19" t="s">
        <v>510</v>
      </c>
    </row>
    <row r="26" spans="1:72">
      <c r="A26" s="43" t="s">
        <v>619</v>
      </c>
      <c r="B26" s="43" t="s">
        <v>620</v>
      </c>
      <c r="C26" s="43" t="s">
        <v>109</v>
      </c>
      <c r="D26" s="43" t="s">
        <v>110</v>
      </c>
      <c r="G26" s="44">
        <v>0.19</v>
      </c>
      <c r="H26" s="44">
        <v>0.49</v>
      </c>
      <c r="I26" s="44">
        <v>0.75</v>
      </c>
      <c r="J26" s="43" t="s">
        <v>621</v>
      </c>
      <c r="K26" s="203" t="s">
        <v>148</v>
      </c>
      <c r="N26" s="48"/>
      <c r="O26" s="43" t="s">
        <v>598</v>
      </c>
      <c r="P26" s="43">
        <v>2026</v>
      </c>
      <c r="U26" s="43" t="s">
        <v>134</v>
      </c>
      <c r="V26" s="43" t="s">
        <v>492</v>
      </c>
      <c r="W26" s="43" t="s">
        <v>115</v>
      </c>
      <c r="X26" s="43" t="s">
        <v>201</v>
      </c>
      <c r="Y26" s="43">
        <v>0.46</v>
      </c>
      <c r="Z26" s="43" t="s">
        <v>136</v>
      </c>
      <c r="AA26" s="43" t="s">
        <v>118</v>
      </c>
      <c r="AF26" s="43">
        <v>0.28999999999999998</v>
      </c>
      <c r="AG26" s="43" t="s">
        <v>119</v>
      </c>
      <c r="AH26" s="203"/>
      <c r="AI26" s="203"/>
      <c r="AJ26" s="203"/>
      <c r="AK26" s="203"/>
      <c r="AL26" s="204"/>
      <c r="AM26"/>
      <c r="AN26" s="59">
        <v>1950</v>
      </c>
      <c r="AP26" s="205"/>
      <c r="AQ26" s="205"/>
      <c r="AR2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0.30211900973437211</v>
      </c>
      <c r="AS2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0.99339627726112933</v>
      </c>
      <c r="AT2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5.0000000000000044E-2</v>
      </c>
      <c r="AU2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0.96698138630564667</v>
      </c>
      <c r="AV2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0.48834906931528238</v>
      </c>
      <c r="AW26" s="19">
        <f>IFERROR(Table1[[#This Row],[* Practice Efficiency]]*Table1[[#This Row],[* Load Before Treatment (kg/yr)]],"")</f>
        <v>0.14753953722623536</v>
      </c>
      <c r="AX26" s="100">
        <v>0</v>
      </c>
      <c r="AY26" s="44" t="s">
        <v>121</v>
      </c>
      <c r="BA26" s="101">
        <v>1</v>
      </c>
      <c r="BB2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0.14753953722623536</v>
      </c>
      <c r="BC26" s="44"/>
      <c r="BD26" s="44"/>
      <c r="BJ26" s="43"/>
      <c r="BK26" s="45"/>
      <c r="BL26" s="45"/>
      <c r="BM2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6" s="19" t="str">
        <f>IFERROR(Table1[[#This Row],[* Prior Practice Efficiency]]*Table1[[#This Row],[* Prior Load Before Treatment (kg/year)]],"")</f>
        <v/>
      </c>
      <c r="BT26" s="19"/>
    </row>
    <row r="27" spans="1:72">
      <c r="A27" s="43" t="s">
        <v>622</v>
      </c>
      <c r="B27" s="43" t="s">
        <v>623</v>
      </c>
      <c r="C27" s="43" t="s">
        <v>109</v>
      </c>
      <c r="D27" s="43" t="s">
        <v>110</v>
      </c>
      <c r="G27" s="44">
        <v>0.13</v>
      </c>
      <c r="H27" s="44">
        <v>0.21</v>
      </c>
      <c r="I27" s="44">
        <v>0.59299999999999997</v>
      </c>
      <c r="J27" s="43" t="s">
        <v>621</v>
      </c>
      <c r="K27" s="203" t="s">
        <v>148</v>
      </c>
      <c r="N27" s="48"/>
      <c r="O27" s="43" t="s">
        <v>598</v>
      </c>
      <c r="P27" s="43">
        <v>2026</v>
      </c>
      <c r="U27" s="43" t="s">
        <v>134</v>
      </c>
      <c r="V27" s="43" t="s">
        <v>492</v>
      </c>
      <c r="W27" s="43" t="s">
        <v>115</v>
      </c>
      <c r="X27" s="43" t="s">
        <v>124</v>
      </c>
      <c r="Y27" s="43">
        <v>0.33</v>
      </c>
      <c r="Z27" s="43" t="s">
        <v>136</v>
      </c>
      <c r="AA27" s="43" t="s">
        <v>118</v>
      </c>
      <c r="AF27" s="43">
        <v>0.26</v>
      </c>
      <c r="AG27" s="43" t="s">
        <v>119</v>
      </c>
      <c r="AH27" s="203"/>
      <c r="AI27" s="203"/>
      <c r="AJ27" s="203"/>
      <c r="AK27" s="203"/>
      <c r="AL27" s="204"/>
      <c r="AM27"/>
      <c r="AN27" s="50">
        <v>233.92000000000002</v>
      </c>
      <c r="AP27" s="205"/>
      <c r="AQ27" s="205"/>
      <c r="AR2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0.21673755046161478</v>
      </c>
      <c r="AS2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0.18687992095932063</v>
      </c>
      <c r="AT2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2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0.86879920959320622</v>
      </c>
      <c r="AV2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2.6063976287796189E-2</v>
      </c>
      <c r="AW27" s="19">
        <f>IFERROR(Table1[[#This Row],[* Practice Efficiency]]*Table1[[#This Row],[* Load Before Treatment (kg/yr)]],"")</f>
        <v>5.6490423759065576E-3</v>
      </c>
      <c r="AX27" s="100">
        <v>0</v>
      </c>
      <c r="AY27" s="44" t="s">
        <v>121</v>
      </c>
      <c r="BA27" s="101">
        <v>1</v>
      </c>
      <c r="BB2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5.6490423759065576E-3</v>
      </c>
      <c r="BC27" s="44"/>
      <c r="BD27" s="44"/>
      <c r="BJ27" s="43"/>
      <c r="BK27" s="45"/>
      <c r="BL27" s="45"/>
      <c r="BM2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7" s="19" t="str">
        <f>IFERROR(Table1[[#This Row],[* Prior Practice Efficiency]]*Table1[[#This Row],[* Prior Load Before Treatment (kg/year)]],"")</f>
        <v/>
      </c>
      <c r="BT27" s="19"/>
    </row>
    <row r="28" spans="1:72">
      <c r="B28" s="43" t="s">
        <v>610</v>
      </c>
      <c r="C28" s="43" t="s">
        <v>109</v>
      </c>
      <c r="D28" s="43" t="s">
        <v>110</v>
      </c>
      <c r="E28" s="47">
        <v>44.423459106698992</v>
      </c>
      <c r="F28" s="47">
        <v>-73.209791631531488</v>
      </c>
      <c r="G28" s="44">
        <v>0</v>
      </c>
      <c r="H28" s="44">
        <v>0</v>
      </c>
      <c r="I28" s="44">
        <v>16.058857</v>
      </c>
      <c r="J28" s="43" t="s">
        <v>162</v>
      </c>
      <c r="K28" s="203" t="s">
        <v>162</v>
      </c>
      <c r="N28" s="48"/>
      <c r="O28" s="43" t="s">
        <v>611</v>
      </c>
      <c r="P28" s="43">
        <v>2023</v>
      </c>
      <c r="T28" s="43" t="s">
        <v>612</v>
      </c>
      <c r="U28" s="43" t="s">
        <v>499</v>
      </c>
      <c r="V28" s="43" t="s">
        <v>500</v>
      </c>
      <c r="W28" s="43" t="s">
        <v>115</v>
      </c>
      <c r="X28" s="43" t="s">
        <v>116</v>
      </c>
      <c r="Y28" s="43">
        <v>9.1825829999999993</v>
      </c>
      <c r="Z28" s="43" t="s">
        <v>136</v>
      </c>
      <c r="AA28" s="43" t="s">
        <v>118</v>
      </c>
      <c r="AF28" s="43">
        <v>6.8762740000000004</v>
      </c>
      <c r="AG28" s="43" t="s">
        <v>119</v>
      </c>
      <c r="AH28" s="203"/>
      <c r="AI28" s="203"/>
      <c r="AJ28" s="203"/>
      <c r="AK28" s="203"/>
      <c r="AL28" s="204"/>
      <c r="AM28"/>
      <c r="AN28" s="50">
        <v>23958.000000000004</v>
      </c>
      <c r="AP28" s="205"/>
      <c r="AQ28" s="205"/>
      <c r="AR2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6.2110294117334792</v>
      </c>
      <c r="AS2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0.63351869664357652</v>
      </c>
      <c r="AT2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3.999999999999998E-2</v>
      </c>
      <c r="AU2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0.16759348321788264</v>
      </c>
      <c r="AV2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0.37670373932871531</v>
      </c>
      <c r="AW28" s="19">
        <f>IFERROR(Table1[[#This Row],[* Practice Efficiency]]*Table1[[#This Row],[* Load Before Treatment (kg/yr)]],"")</f>
        <v>2.3397180044806327</v>
      </c>
      <c r="AX28" s="100">
        <v>0</v>
      </c>
      <c r="AY28" s="44" t="s">
        <v>121</v>
      </c>
      <c r="BA28" s="101">
        <v>1</v>
      </c>
      <c r="BB2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2.3397180044806327</v>
      </c>
      <c r="BC28" s="44"/>
      <c r="BD28" s="44"/>
      <c r="BJ28" s="43"/>
      <c r="BK28" s="45"/>
      <c r="BL28" s="45"/>
      <c r="BM2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8" s="19" t="str">
        <f>IFERROR(Table1[[#This Row],[* Prior Practice Efficiency]]*Table1[[#This Row],[* Prior Load Before Treatment (kg/year)]],"")</f>
        <v/>
      </c>
      <c r="BT28" s="19"/>
    </row>
    <row r="29" spans="1:72">
      <c r="A29" s="43" t="s">
        <v>371</v>
      </c>
      <c r="B29" s="43" t="s">
        <v>372</v>
      </c>
      <c r="C29" s="43" t="s">
        <v>109</v>
      </c>
      <c r="D29" s="43" t="s">
        <v>110</v>
      </c>
      <c r="G29" s="44">
        <v>0.17</v>
      </c>
      <c r="H29" s="44">
        <v>0.16</v>
      </c>
      <c r="I29" s="44">
        <v>0.4</v>
      </c>
      <c r="J29" s="43" t="s">
        <v>373</v>
      </c>
      <c r="K29" s="66" t="s">
        <v>112</v>
      </c>
      <c r="N29" s="48"/>
      <c r="O29" s="43" t="s">
        <v>113</v>
      </c>
      <c r="Q29" s="43">
        <v>2015</v>
      </c>
      <c r="R29" s="49"/>
      <c r="U29" s="43" t="s">
        <v>134</v>
      </c>
      <c r="V29" s="43" t="str">
        <f>IFERROR(VLOOKUP(Table1[[#This Row],[LC TMDL Drainage Area]],Dropdowns!$P$3:$Q$23,2,FALSE),"")</f>
        <v>Main Lake</v>
      </c>
      <c r="W29" s="43" t="s">
        <v>115</v>
      </c>
      <c r="X29" s="43" t="s">
        <v>124</v>
      </c>
      <c r="Y29" s="43">
        <v>0.21</v>
      </c>
      <c r="Z29" s="43" t="s">
        <v>146</v>
      </c>
      <c r="AA29" s="43" t="s">
        <v>118</v>
      </c>
      <c r="AB29" s="93"/>
      <c r="AC29" s="93"/>
      <c r="AD29" s="93"/>
      <c r="AE29" s="93"/>
      <c r="AF29" s="43">
        <v>0.19</v>
      </c>
      <c r="AG29" s="43" t="s">
        <v>119</v>
      </c>
      <c r="AH29" s="5">
        <v>8</v>
      </c>
      <c r="AI29" s="5">
        <v>0.09</v>
      </c>
      <c r="AJ29" s="4">
        <v>3</v>
      </c>
      <c r="AK29" s="4">
        <v>248</v>
      </c>
      <c r="AL29" s="60">
        <v>240</v>
      </c>
      <c r="AM29"/>
      <c r="AN29" s="50">
        <v>184.5864</v>
      </c>
      <c r="AP29" s="8" t="s">
        <v>196</v>
      </c>
      <c r="AQ29" s="8" t="s">
        <v>196</v>
      </c>
      <c r="AR2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0.21378169697449356</v>
      </c>
      <c r="AS2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0.22804730444775159</v>
      </c>
      <c r="AT2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0.1402365222387579</v>
      </c>
      <c r="AV2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2.5609460889550316E-2</v>
      </c>
      <c r="AW29" s="19">
        <f>IFERROR(Table1[[#This Row],[* Practice Efficiency]]*Table1[[#This Row],[* Load Before Treatment (kg/yr)]],"")</f>
        <v>5.4748340075699902E-3</v>
      </c>
      <c r="AX29" s="100">
        <f>Table1[[#This Row],[Manually entered practice effiency ]]*Table1[[#This Row],[* Load Before Treatment (kg/yr)]]</f>
        <v>0</v>
      </c>
      <c r="AY29" s="43" t="s">
        <v>121</v>
      </c>
      <c r="BA29" s="101">
        <v>1</v>
      </c>
      <c r="BB2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5.4748340075699902E-3</v>
      </c>
      <c r="BC29" s="44"/>
      <c r="BD29" s="44"/>
      <c r="BJ29" s="43"/>
      <c r="BK29" s="45"/>
      <c r="BL29" s="45"/>
      <c r="BM2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9" s="19" t="str">
        <f>IFERROR(Table1[[#This Row],[* Prior Practice Efficiency]]*Table1[[#This Row],[* Prior Load Before Treatment (kg/year)]],"")</f>
        <v/>
      </c>
      <c r="BT29" s="19"/>
    </row>
    <row r="30" spans="1:72">
      <c r="A30" s="43" t="s">
        <v>592</v>
      </c>
      <c r="B30" s="43" t="s">
        <v>593</v>
      </c>
      <c r="C30" s="43" t="s">
        <v>109</v>
      </c>
      <c r="D30" s="43" t="s">
        <v>110</v>
      </c>
      <c r="K30" s="203"/>
      <c r="N30" s="48"/>
      <c r="O30" s="43" t="s">
        <v>589</v>
      </c>
      <c r="P30" s="65">
        <v>2016</v>
      </c>
      <c r="U30" s="43" t="s">
        <v>134</v>
      </c>
      <c r="V30" s="43" t="str">
        <f>IFERROR(VLOOKUP(Table1[[#This Row],[LC TMDL Drainage Area]],Dropdowns!$P$3:$Q$23,2,FALSE),"")</f>
        <v>Main Lake</v>
      </c>
      <c r="W30" s="43" t="s">
        <v>115</v>
      </c>
      <c r="X30" s="43" t="s">
        <v>141</v>
      </c>
      <c r="Y30" s="44">
        <f>0.49/2</f>
        <v>0.245</v>
      </c>
      <c r="Z30" s="43" t="s">
        <v>146</v>
      </c>
      <c r="AA30" s="43" t="s">
        <v>118</v>
      </c>
      <c r="AF30" s="43">
        <v>1.0000000000000001E-5</v>
      </c>
      <c r="AG30" s="43" t="s">
        <v>119</v>
      </c>
      <c r="AH30" s="203"/>
      <c r="AI30" s="203"/>
      <c r="AJ30" s="203"/>
      <c r="AK30" s="203"/>
      <c r="AL30" s="204"/>
      <c r="AM30">
        <v>0.49</v>
      </c>
      <c r="AN30" s="50">
        <v>0</v>
      </c>
      <c r="AP30" s="205"/>
      <c r="AQ30" s="205"/>
      <c r="AR3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0.24941197980357582</v>
      </c>
      <c r="AS3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30"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3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0" s="19" t="str">
        <f>IFERROR(Table1[[#This Row],[* Practice Efficiency]]*Table1[[#This Row],[* Load Before Treatment (kg/yr)]],"")</f>
        <v/>
      </c>
      <c r="AX30" s="100">
        <f>Table1[[#This Row],[Manually entered practice effiency ]]*Table1[[#This Row],[* Load Before Treatment (kg/yr)]]</f>
        <v>0.12221187010375215</v>
      </c>
      <c r="AY30" s="44" t="s">
        <v>121</v>
      </c>
      <c r="BA30" s="101">
        <v>1</v>
      </c>
      <c r="BB3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0.12221187010375215</v>
      </c>
      <c r="BC30" s="44"/>
      <c r="BD30" s="44"/>
      <c r="BJ30" s="43"/>
      <c r="BK30" s="45"/>
      <c r="BL30" s="45"/>
      <c r="BM3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3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0" s="19" t="str">
        <f>IFERROR(Table1[[#This Row],[* Prior Practice Efficiency]]*Table1[[#This Row],[* Prior Load Before Treatment (kg/year)]],"")</f>
        <v/>
      </c>
      <c r="BT30" s="210" t="s">
        <v>594</v>
      </c>
    </row>
    <row r="31" spans="1:72">
      <c r="A31" s="43" t="s">
        <v>595</v>
      </c>
      <c r="B31" s="43" t="s">
        <v>593</v>
      </c>
      <c r="C31" s="43" t="s">
        <v>109</v>
      </c>
      <c r="D31" s="43" t="s">
        <v>110</v>
      </c>
      <c r="K31" s="203"/>
      <c r="N31" s="48"/>
      <c r="O31" s="43" t="s">
        <v>589</v>
      </c>
      <c r="P31" s="65">
        <v>2016</v>
      </c>
      <c r="U31" s="43" t="s">
        <v>134</v>
      </c>
      <c r="V31" s="43" t="str">
        <f>IFERROR(VLOOKUP(Table1[[#This Row],[LC TMDL Drainage Area]],Dropdowns!$P$3:$Q$23,2,FALSE),"")</f>
        <v>Main Lake</v>
      </c>
      <c r="W31" s="43" t="s">
        <v>115</v>
      </c>
      <c r="X31" s="43" t="s">
        <v>141</v>
      </c>
      <c r="Y31" s="43">
        <f>2.04*0.5</f>
        <v>1.02</v>
      </c>
      <c r="Z31" s="43" t="s">
        <v>146</v>
      </c>
      <c r="AA31" s="43" t="s">
        <v>118</v>
      </c>
      <c r="AF31" s="43">
        <v>1.0000000000000001E-5</v>
      </c>
      <c r="AG31" s="43" t="s">
        <v>119</v>
      </c>
      <c r="AH31" s="203"/>
      <c r="AI31" s="203"/>
      <c r="AJ31" s="203"/>
      <c r="AK31" s="203"/>
      <c r="AL31" s="204"/>
      <c r="AM31">
        <v>0.49</v>
      </c>
      <c r="AN31" s="50">
        <v>0</v>
      </c>
      <c r="AP31" s="205"/>
      <c r="AQ31" s="205"/>
      <c r="AR3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1.0383682424475402</v>
      </c>
      <c r="AS3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31"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3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1" s="19" t="str">
        <f>IFERROR(Table1[[#This Row],[* Practice Efficiency]]*Table1[[#This Row],[* Load Before Treatment (kg/yr)]],"")</f>
        <v/>
      </c>
      <c r="AX31" s="100">
        <f>Table1[[#This Row],[Manually entered practice effiency ]]*Table1[[#This Row],[* Load Before Treatment (kg/yr)]]</f>
        <v>0.50880043879929471</v>
      </c>
      <c r="AY31" s="44" t="s">
        <v>121</v>
      </c>
      <c r="BA31" s="101">
        <v>1</v>
      </c>
      <c r="BB3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0.50880043879929471</v>
      </c>
      <c r="BC31" s="44"/>
      <c r="BD31" s="44"/>
      <c r="BJ31" s="43"/>
      <c r="BK31" s="45"/>
      <c r="BL31" s="45"/>
      <c r="BM3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3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1" s="19" t="str">
        <f>IFERROR(Table1[[#This Row],[* Prior Practice Efficiency]]*Table1[[#This Row],[* Prior Load Before Treatment (kg/year)]],"")</f>
        <v/>
      </c>
      <c r="BT31" s="210" t="s">
        <v>594</v>
      </c>
    </row>
    <row r="32" spans="1:72">
      <c r="A32" s="43" t="s">
        <v>596</v>
      </c>
      <c r="B32" s="43" t="s">
        <v>593</v>
      </c>
      <c r="C32" s="43" t="s">
        <v>109</v>
      </c>
      <c r="D32" s="43" t="s">
        <v>110</v>
      </c>
      <c r="K32" s="203"/>
      <c r="N32" s="48"/>
      <c r="O32" s="43" t="s">
        <v>589</v>
      </c>
      <c r="P32" s="65">
        <v>2016</v>
      </c>
      <c r="U32" s="43" t="s">
        <v>134</v>
      </c>
      <c r="V32" s="43" t="str">
        <f>IFERROR(VLOOKUP(Table1[[#This Row],[LC TMDL Drainage Area]],Dropdowns!$P$3:$Q$23,2,FALSE),"")</f>
        <v>Main Lake</v>
      </c>
      <c r="W32" s="43" t="s">
        <v>115</v>
      </c>
      <c r="X32" s="43" t="s">
        <v>141</v>
      </c>
      <c r="Y32" s="43">
        <f>1.66*0.5</f>
        <v>0.83</v>
      </c>
      <c r="Z32" s="43" t="s">
        <v>146</v>
      </c>
      <c r="AA32" s="43" t="s">
        <v>118</v>
      </c>
      <c r="AF32" s="43">
        <v>1.0000000000000001E-5</v>
      </c>
      <c r="AG32" s="43" t="s">
        <v>119</v>
      </c>
      <c r="AH32" s="203"/>
      <c r="AI32" s="203"/>
      <c r="AJ32" s="203"/>
      <c r="AK32" s="203"/>
      <c r="AL32" s="204"/>
      <c r="AM32">
        <v>0.67</v>
      </c>
      <c r="AN32" s="50">
        <v>0</v>
      </c>
      <c r="AP32" s="205"/>
      <c r="AQ32" s="205"/>
      <c r="AR3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0.84494670708966502</v>
      </c>
      <c r="AS3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32"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3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2" s="19" t="str">
        <f>IFERROR(Table1[[#This Row],[* Practice Efficiency]]*Table1[[#This Row],[* Load Before Treatment (kg/yr)]],"")</f>
        <v/>
      </c>
      <c r="AX32" s="100">
        <f>Table1[[#This Row],[Manually entered practice effiency ]]*Table1[[#This Row],[* Load Before Treatment (kg/yr)]]</f>
        <v>0.5661142937500756</v>
      </c>
      <c r="AY32" s="44" t="s">
        <v>121</v>
      </c>
      <c r="BA32" s="101">
        <v>1</v>
      </c>
      <c r="BB3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0.5661142937500756</v>
      </c>
      <c r="BC32" s="44"/>
      <c r="BD32" s="44"/>
      <c r="BJ32" s="43"/>
      <c r="BK32" s="45"/>
      <c r="BL32" s="45"/>
      <c r="BM3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3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2" s="19" t="str">
        <f>IFERROR(Table1[[#This Row],[* Prior Practice Efficiency]]*Table1[[#This Row],[* Prior Load Before Treatment (kg/year)]],"")</f>
        <v/>
      </c>
      <c r="BT32" s="210" t="s">
        <v>594</v>
      </c>
    </row>
    <row r="33" spans="1:72">
      <c r="A33" s="43" t="s">
        <v>349</v>
      </c>
      <c r="B33" s="43" t="s">
        <v>350</v>
      </c>
      <c r="C33" s="43" t="s">
        <v>109</v>
      </c>
      <c r="D33" s="43" t="s">
        <v>110</v>
      </c>
      <c r="K33" s="203"/>
      <c r="N33" s="48"/>
      <c r="O33" s="43" t="s">
        <v>113</v>
      </c>
      <c r="Q33" s="43">
        <v>2014</v>
      </c>
      <c r="U33" s="43" t="s">
        <v>134</v>
      </c>
      <c r="V33" s="43" t="str">
        <f>IFERROR(VLOOKUP(Table1[[#This Row],[LC TMDL Drainage Area]],Dropdowns!$P$3:$Q$23,2,FALSE),"")</f>
        <v>Main Lake</v>
      </c>
      <c r="W33" s="43" t="s">
        <v>115</v>
      </c>
      <c r="X33" s="43" t="s">
        <v>141</v>
      </c>
      <c r="Y33" s="44">
        <f>1.623*(530/1031)*0.5</f>
        <v>0.41716294859359843</v>
      </c>
      <c r="Z33" s="43" t="s">
        <v>136</v>
      </c>
      <c r="AA33" s="43" t="s">
        <v>118</v>
      </c>
      <c r="AF33" s="43">
        <v>1.0000000000000001E-5</v>
      </c>
      <c r="AG33" s="43" t="s">
        <v>119</v>
      </c>
      <c r="AH33" s="203"/>
      <c r="AI33" s="203"/>
      <c r="AJ33" s="203"/>
      <c r="AK33" s="203"/>
      <c r="AL33" s="204"/>
      <c r="AM33">
        <v>0.49</v>
      </c>
      <c r="AN33" s="50">
        <v>0</v>
      </c>
      <c r="AP33" s="205"/>
      <c r="AQ33" s="205"/>
      <c r="AR3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0.27398447158036676</v>
      </c>
      <c r="AS3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33"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3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3" s="19" t="str">
        <f>IFERROR(Table1[[#This Row],[* Practice Efficiency]]*Table1[[#This Row],[* Load Before Treatment (kg/yr)]],"")</f>
        <v/>
      </c>
      <c r="AX33" s="100">
        <f>Table1[[#This Row],[Manually entered practice effiency ]]*Table1[[#This Row],[* Load Before Treatment (kg/yr)]]</f>
        <v>0.13425239107437972</v>
      </c>
      <c r="AY33" s="44" t="s">
        <v>121</v>
      </c>
      <c r="BA33" s="101">
        <v>1</v>
      </c>
      <c r="BB3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0.13425239107437972</v>
      </c>
      <c r="BC33" s="44"/>
      <c r="BD33" s="44"/>
      <c r="BJ33" s="43"/>
      <c r="BK33" s="45"/>
      <c r="BL33" s="45"/>
      <c r="BM3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3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3" s="19" t="str">
        <f>IFERROR(Table1[[#This Row],[* Prior Practice Efficiency]]*Table1[[#This Row],[* Prior Load Before Treatment (kg/year)]],"")</f>
        <v/>
      </c>
      <c r="BT33" s="19"/>
    </row>
    <row r="34" spans="1:72">
      <c r="A34" s="43" t="s">
        <v>351</v>
      </c>
      <c r="B34" s="43" t="s">
        <v>350</v>
      </c>
      <c r="C34" s="43" t="s">
        <v>109</v>
      </c>
      <c r="D34" s="43" t="s">
        <v>110</v>
      </c>
      <c r="K34" s="203"/>
      <c r="N34" s="48"/>
      <c r="O34" s="43" t="s">
        <v>113</v>
      </c>
      <c r="Q34" s="43">
        <v>2014</v>
      </c>
      <c r="U34" s="43" t="s">
        <v>134</v>
      </c>
      <c r="V34" s="43" t="str">
        <f>IFERROR(VLOOKUP(Table1[[#This Row],[LC TMDL Drainage Area]],Dropdowns!$P$3:$Q$23,2,FALSE),"")</f>
        <v>Main Lake</v>
      </c>
      <c r="W34" s="43" t="s">
        <v>115</v>
      </c>
      <c r="X34" s="43" t="s">
        <v>141</v>
      </c>
      <c r="Y34" s="43">
        <v>1.07</v>
      </c>
      <c r="Z34" s="43" t="s">
        <v>146</v>
      </c>
      <c r="AA34" s="43" t="s">
        <v>118</v>
      </c>
      <c r="AF34" s="43">
        <v>1.0000000000000001E-5</v>
      </c>
      <c r="AG34" s="43" t="s">
        <v>119</v>
      </c>
      <c r="AH34" s="203"/>
      <c r="AI34" s="203"/>
      <c r="AJ34" s="203"/>
      <c r="AK34" s="203"/>
      <c r="AL34" s="204"/>
      <c r="AM34">
        <v>0.56999999999999995</v>
      </c>
      <c r="AN34" s="50">
        <v>0</v>
      </c>
      <c r="AP34" s="205"/>
      <c r="AQ34" s="205"/>
      <c r="AR3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1.0892686464890864</v>
      </c>
      <c r="AS3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34"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3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4" s="19" t="str">
        <f>IFERROR(Table1[[#This Row],[* Practice Efficiency]]*Table1[[#This Row],[* Load Before Treatment (kg/yr)]],"")</f>
        <v/>
      </c>
      <c r="AX34" s="100">
        <f>Table1[[#This Row],[Manually entered practice effiency ]]*Table1[[#This Row],[* Load Before Treatment (kg/yr)]]</f>
        <v>0.62088312849877914</v>
      </c>
      <c r="AY34" s="44" t="s">
        <v>121</v>
      </c>
      <c r="BA34" s="101">
        <v>1</v>
      </c>
      <c r="BB3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0.62088312849877914</v>
      </c>
      <c r="BC34" s="44"/>
      <c r="BD34" s="44"/>
      <c r="BJ34" s="43"/>
      <c r="BK34" s="45"/>
      <c r="BL34" s="45"/>
      <c r="BM3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3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4" s="19" t="str">
        <f>IFERROR(Table1[[#This Row],[* Prior Practice Efficiency]]*Table1[[#This Row],[* Prior Load Before Treatment (kg/year)]],"")</f>
        <v/>
      </c>
      <c r="BT34" s="19"/>
    </row>
    <row r="35" spans="1:72">
      <c r="A35" s="43" t="s">
        <v>352</v>
      </c>
      <c r="B35" s="43" t="s">
        <v>350</v>
      </c>
      <c r="C35" s="43" t="s">
        <v>109</v>
      </c>
      <c r="D35" s="43" t="s">
        <v>110</v>
      </c>
      <c r="K35" s="203"/>
      <c r="N35" s="48"/>
      <c r="O35" s="43" t="s">
        <v>113</v>
      </c>
      <c r="Q35" s="43">
        <v>2014</v>
      </c>
      <c r="U35" s="43" t="s">
        <v>134</v>
      </c>
      <c r="V35" s="43" t="str">
        <f>IFERROR(VLOOKUP(Table1[[#This Row],[LC TMDL Drainage Area]],Dropdowns!$P$3:$Q$23,2,FALSE),"")</f>
        <v>Main Lake</v>
      </c>
      <c r="W35" s="43" t="s">
        <v>115</v>
      </c>
      <c r="X35" s="43" t="s">
        <v>141</v>
      </c>
      <c r="Y35" s="44">
        <f>1.65*0.5</f>
        <v>0.82499999999999996</v>
      </c>
      <c r="Z35" s="43" t="s">
        <v>136</v>
      </c>
      <c r="AA35" s="43" t="s">
        <v>118</v>
      </c>
      <c r="AF35" s="43">
        <v>1.0000000000000001E-5</v>
      </c>
      <c r="AG35" s="43" t="s">
        <v>119</v>
      </c>
      <c r="AH35" s="203"/>
      <c r="AI35" s="203"/>
      <c r="AJ35" s="203"/>
      <c r="AK35" s="203"/>
      <c r="AL35" s="204"/>
      <c r="AM35">
        <v>0.6</v>
      </c>
      <c r="AN35" s="50">
        <v>0</v>
      </c>
      <c r="AP35" s="205"/>
      <c r="AQ35" s="205"/>
      <c r="AR3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0.54184387615403684</v>
      </c>
      <c r="AS3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35"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3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5" s="19" t="str">
        <f>IFERROR(Table1[[#This Row],[* Practice Efficiency]]*Table1[[#This Row],[* Load Before Treatment (kg/yr)]],"")</f>
        <v/>
      </c>
      <c r="AX35" s="100">
        <f>Table1[[#This Row],[Manually entered practice effiency ]]*Table1[[#This Row],[* Load Before Treatment (kg/yr)]]</f>
        <v>0.32510632569242209</v>
      </c>
      <c r="AY35" s="44" t="s">
        <v>121</v>
      </c>
      <c r="BA35" s="101">
        <v>1</v>
      </c>
      <c r="BB3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0.32510632569242209</v>
      </c>
      <c r="BC35" s="44"/>
      <c r="BD35" s="44"/>
      <c r="BJ35" s="43"/>
      <c r="BK35" s="45"/>
      <c r="BL35" s="45"/>
      <c r="BM3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3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5" s="19" t="str">
        <f>IFERROR(Table1[[#This Row],[* Prior Practice Efficiency]]*Table1[[#This Row],[* Prior Load Before Treatment (kg/year)]],"")</f>
        <v/>
      </c>
      <c r="BT35" s="19"/>
    </row>
    <row r="36" spans="1:72">
      <c r="A36" s="43" t="s">
        <v>353</v>
      </c>
      <c r="B36" s="43" t="s">
        <v>350</v>
      </c>
      <c r="C36" s="43" t="s">
        <v>109</v>
      </c>
      <c r="D36" s="43" t="s">
        <v>110</v>
      </c>
      <c r="K36" s="203"/>
      <c r="N36" s="48"/>
      <c r="O36" s="43" t="s">
        <v>113</v>
      </c>
      <c r="Q36" s="43">
        <v>2014</v>
      </c>
      <c r="U36" s="43" t="s">
        <v>134</v>
      </c>
      <c r="V36" s="43" t="str">
        <f>IFERROR(VLOOKUP(Table1[[#This Row],[LC TMDL Drainage Area]],Dropdowns!$P$3:$Q$23,2,FALSE),"")</f>
        <v>Main Lake</v>
      </c>
      <c r="W36" s="43" t="s">
        <v>115</v>
      </c>
      <c r="X36" s="43" t="s">
        <v>141</v>
      </c>
      <c r="Y36" s="43">
        <f>1.14/2</f>
        <v>0.56999999999999995</v>
      </c>
      <c r="Z36" s="43" t="s">
        <v>136</v>
      </c>
      <c r="AA36" s="43" t="s">
        <v>118</v>
      </c>
      <c r="AF36" s="43">
        <v>1.0000000000000001E-5</v>
      </c>
      <c r="AG36" s="43" t="s">
        <v>119</v>
      </c>
      <c r="AH36" s="203"/>
      <c r="AI36" s="203"/>
      <c r="AJ36" s="203"/>
      <c r="AK36" s="203"/>
      <c r="AL36" s="204"/>
      <c r="AM36">
        <v>0.6</v>
      </c>
      <c r="AN36" s="50">
        <v>0</v>
      </c>
      <c r="AP36" s="205"/>
      <c r="AQ36" s="205"/>
      <c r="AR3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0.37436485988824364</v>
      </c>
      <c r="AS3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36"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3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6" s="19" t="str">
        <f>IFERROR(Table1[[#This Row],[* Practice Efficiency]]*Table1[[#This Row],[* Load Before Treatment (kg/yr)]],"")</f>
        <v/>
      </c>
      <c r="AX36" s="100">
        <f>Table1[[#This Row],[Manually entered practice effiency ]]*Table1[[#This Row],[* Load Before Treatment (kg/yr)]]</f>
        <v>0.22461891593294617</v>
      </c>
      <c r="AY36" s="44" t="s">
        <v>121</v>
      </c>
      <c r="BA36" s="101">
        <v>1</v>
      </c>
      <c r="BB3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0.22461891593294617</v>
      </c>
      <c r="BC36" s="44"/>
      <c r="BD36" s="44"/>
      <c r="BJ36" s="43"/>
      <c r="BK36" s="45"/>
      <c r="BL36" s="45"/>
      <c r="BM3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3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6" s="19" t="str">
        <f>IFERROR(Table1[[#This Row],[* Prior Practice Efficiency]]*Table1[[#This Row],[* Prior Load Before Treatment (kg/year)]],"")</f>
        <v/>
      </c>
      <c r="BT36" s="19"/>
    </row>
    <row r="37" spans="1:72">
      <c r="A37" s="43" t="s">
        <v>354</v>
      </c>
      <c r="B37" s="43" t="s">
        <v>350</v>
      </c>
      <c r="C37" s="43" t="s">
        <v>109</v>
      </c>
      <c r="D37" s="43" t="s">
        <v>110</v>
      </c>
      <c r="K37" s="203"/>
      <c r="N37" s="48"/>
      <c r="O37" s="43" t="s">
        <v>113</v>
      </c>
      <c r="Q37" s="43">
        <v>2014</v>
      </c>
      <c r="U37" s="43" t="s">
        <v>134</v>
      </c>
      <c r="V37" s="43" t="str">
        <f>IFERROR(VLOOKUP(Table1[[#This Row],[LC TMDL Drainage Area]],Dropdowns!$P$3:$Q$23,2,FALSE),"")</f>
        <v>Main Lake</v>
      </c>
      <c r="W37" s="43" t="s">
        <v>115</v>
      </c>
      <c r="X37" s="43" t="s">
        <v>141</v>
      </c>
      <c r="Y37" s="43">
        <f>1.34*0.5</f>
        <v>0.67</v>
      </c>
      <c r="Z37" s="43" t="s">
        <v>136</v>
      </c>
      <c r="AA37" s="43" t="s">
        <v>118</v>
      </c>
      <c r="AF37" s="43">
        <v>1.0000000000000001E-5</v>
      </c>
      <c r="AG37" s="43" t="s">
        <v>119</v>
      </c>
      <c r="AH37" s="203"/>
      <c r="AI37" s="203"/>
      <c r="AJ37" s="203"/>
      <c r="AK37" s="203"/>
      <c r="AL37" s="204"/>
      <c r="AM37">
        <v>0.6</v>
      </c>
      <c r="AN37" s="50">
        <v>0</v>
      </c>
      <c r="AP37" s="205"/>
      <c r="AQ37" s="205"/>
      <c r="AR3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0.44004290548267239</v>
      </c>
      <c r="AS3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37"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3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7" s="19" t="str">
        <f>IFERROR(Table1[[#This Row],[* Practice Efficiency]]*Table1[[#This Row],[* Load Before Treatment (kg/yr)]],"")</f>
        <v/>
      </c>
      <c r="AX37" s="100">
        <f>Table1[[#This Row],[Manually entered practice effiency ]]*Table1[[#This Row],[* Load Before Treatment (kg/yr)]]</f>
        <v>0.26402574328960343</v>
      </c>
      <c r="AY37" s="44" t="s">
        <v>121</v>
      </c>
      <c r="BA37" s="101">
        <v>1</v>
      </c>
      <c r="BB3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0.26402574328960343</v>
      </c>
      <c r="BC37" s="44"/>
      <c r="BD37" s="44"/>
      <c r="BJ37" s="43"/>
      <c r="BK37" s="45"/>
      <c r="BL37" s="45"/>
      <c r="BM3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3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7" s="19" t="str">
        <f>IFERROR(Table1[[#This Row],[* Prior Practice Efficiency]]*Table1[[#This Row],[* Prior Load Before Treatment (kg/year)]],"")</f>
        <v/>
      </c>
      <c r="BT37" s="19"/>
    </row>
    <row r="38" spans="1:72">
      <c r="A38" s="43" t="s">
        <v>355</v>
      </c>
      <c r="B38" s="43" t="s">
        <v>350</v>
      </c>
      <c r="C38" s="43" t="s">
        <v>109</v>
      </c>
      <c r="D38" s="43" t="s">
        <v>110</v>
      </c>
      <c r="K38" s="203"/>
      <c r="N38" s="48"/>
      <c r="O38" s="43" t="s">
        <v>113</v>
      </c>
      <c r="Q38" s="43">
        <v>2014</v>
      </c>
      <c r="U38" s="43" t="s">
        <v>134</v>
      </c>
      <c r="V38" s="43" t="str">
        <f>IFERROR(VLOOKUP(Table1[[#This Row],[LC TMDL Drainage Area]],Dropdowns!$P$3:$Q$23,2,FALSE),"")</f>
        <v>Main Lake</v>
      </c>
      <c r="W38" s="43" t="s">
        <v>115</v>
      </c>
      <c r="X38" s="43" t="s">
        <v>141</v>
      </c>
      <c r="Y38" s="43">
        <f>1.16*0.5</f>
        <v>0.57999999999999996</v>
      </c>
      <c r="Z38" s="43" t="s">
        <v>136</v>
      </c>
      <c r="AA38" s="43" t="s">
        <v>118</v>
      </c>
      <c r="AF38" s="43">
        <v>1.0000000000000001E-5</v>
      </c>
      <c r="AG38" s="43" t="s">
        <v>119</v>
      </c>
      <c r="AH38" s="203"/>
      <c r="AI38" s="203"/>
      <c r="AJ38" s="203"/>
      <c r="AK38" s="203"/>
      <c r="AL38" s="204"/>
      <c r="AM38">
        <v>0.67</v>
      </c>
      <c r="AN38" s="50">
        <v>0</v>
      </c>
      <c r="AP38" s="205"/>
      <c r="AQ38" s="205"/>
      <c r="AR3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0.38093266444768653</v>
      </c>
      <c r="AS3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38"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3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8" s="19" t="str">
        <f>IFERROR(Table1[[#This Row],[* Practice Efficiency]]*Table1[[#This Row],[* Load Before Treatment (kg/yr)]],"")</f>
        <v/>
      </c>
      <c r="AX38" s="100">
        <f>Table1[[#This Row],[Manually entered practice effiency ]]*Table1[[#This Row],[* Load Before Treatment (kg/yr)]]</f>
        <v>0.25522488517995001</v>
      </c>
      <c r="AY38" s="44" t="s">
        <v>121</v>
      </c>
      <c r="BA38" s="101">
        <v>1</v>
      </c>
      <c r="BB3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0.25522488517995001</v>
      </c>
      <c r="BC38" s="44"/>
      <c r="BD38" s="44"/>
      <c r="BJ38" s="43"/>
      <c r="BK38" s="45"/>
      <c r="BL38" s="45"/>
      <c r="BM3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3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8" s="19" t="str">
        <f>IFERROR(Table1[[#This Row],[* Prior Practice Efficiency]]*Table1[[#This Row],[* Prior Load Before Treatment (kg/year)]],"")</f>
        <v/>
      </c>
      <c r="BT38" s="19"/>
    </row>
    <row r="39" spans="1:72">
      <c r="A39" s="43" t="s">
        <v>356</v>
      </c>
      <c r="B39" s="43" t="s">
        <v>350</v>
      </c>
      <c r="C39" s="43" t="s">
        <v>109</v>
      </c>
      <c r="D39" s="43" t="s">
        <v>110</v>
      </c>
      <c r="K39" s="203"/>
      <c r="N39" s="48"/>
      <c r="O39" s="43" t="s">
        <v>113</v>
      </c>
      <c r="Q39" s="43">
        <v>2014</v>
      </c>
      <c r="U39" s="43" t="s">
        <v>134</v>
      </c>
      <c r="V39" s="43" t="str">
        <f>IFERROR(VLOOKUP(Table1[[#This Row],[LC TMDL Drainage Area]],Dropdowns!$P$3:$Q$23,2,FALSE),"")</f>
        <v>Main Lake</v>
      </c>
      <c r="W39" s="43" t="s">
        <v>115</v>
      </c>
      <c r="X39" s="43" t="s">
        <v>141</v>
      </c>
      <c r="Y39" s="43">
        <v>0.4</v>
      </c>
      <c r="Z39" s="43" t="s">
        <v>136</v>
      </c>
      <c r="AA39" s="43" t="s">
        <v>118</v>
      </c>
      <c r="AF39" s="43">
        <v>1.0000000000000001E-5</v>
      </c>
      <c r="AG39" s="43" t="s">
        <v>119</v>
      </c>
      <c r="AH39" s="203"/>
      <c r="AI39" s="203"/>
      <c r="AJ39" s="203"/>
      <c r="AK39" s="203"/>
      <c r="AL39" s="204"/>
      <c r="AM39">
        <v>0.6</v>
      </c>
      <c r="AN39" s="50">
        <v>0</v>
      </c>
      <c r="AP39" s="205"/>
      <c r="AQ39" s="205"/>
      <c r="AR3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0.26271218237771488</v>
      </c>
      <c r="AS3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39"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3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9" s="19" t="str">
        <f>IFERROR(Table1[[#This Row],[* Practice Efficiency]]*Table1[[#This Row],[* Load Before Treatment (kg/yr)]],"")</f>
        <v/>
      </c>
      <c r="AX39" s="100">
        <f>Table1[[#This Row],[Manually entered practice effiency ]]*Table1[[#This Row],[* Load Before Treatment (kg/yr)]]</f>
        <v>0.15762730942662892</v>
      </c>
      <c r="AY39" s="44" t="s">
        <v>121</v>
      </c>
      <c r="BA39" s="101">
        <v>1</v>
      </c>
      <c r="BB3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0.15762730942662892</v>
      </c>
      <c r="BC39" s="44"/>
      <c r="BD39" s="44"/>
      <c r="BJ39" s="43"/>
      <c r="BK39" s="45"/>
      <c r="BL39" s="45"/>
      <c r="BM3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3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9" s="19" t="str">
        <f>IFERROR(Table1[[#This Row],[* Prior Practice Efficiency]]*Table1[[#This Row],[* Prior Load Before Treatment (kg/year)]],"")</f>
        <v/>
      </c>
      <c r="BT39" s="19"/>
    </row>
    <row r="40" spans="1:72">
      <c r="A40" s="43" t="s">
        <v>357</v>
      </c>
      <c r="B40" s="43" t="s">
        <v>350</v>
      </c>
      <c r="C40" s="43" t="s">
        <v>109</v>
      </c>
      <c r="D40" s="43" t="s">
        <v>110</v>
      </c>
      <c r="K40" s="203"/>
      <c r="N40" s="48"/>
      <c r="O40" s="43" t="s">
        <v>113</v>
      </c>
      <c r="Q40" s="43">
        <v>2014</v>
      </c>
      <c r="U40" s="43" t="s">
        <v>134</v>
      </c>
      <c r="V40" s="43" t="str">
        <f>IFERROR(VLOOKUP(Table1[[#This Row],[LC TMDL Drainage Area]],Dropdowns!$P$3:$Q$23,2,FALSE),"")</f>
        <v>Main Lake</v>
      </c>
      <c r="W40" s="43" t="s">
        <v>115</v>
      </c>
      <c r="X40" s="43" t="s">
        <v>141</v>
      </c>
      <c r="Y40" s="43">
        <v>0.26</v>
      </c>
      <c r="Z40" s="43" t="s">
        <v>146</v>
      </c>
      <c r="AA40" s="43" t="s">
        <v>118</v>
      </c>
      <c r="AF40" s="43">
        <v>1.0000000000000001E-5</v>
      </c>
      <c r="AG40" s="43" t="s">
        <v>119</v>
      </c>
      <c r="AH40" s="203"/>
      <c r="AI40" s="203"/>
      <c r="AJ40" s="203"/>
      <c r="AK40" s="203"/>
      <c r="AL40" s="204"/>
      <c r="AM40">
        <v>0.49</v>
      </c>
      <c r="AN40" s="50">
        <v>0</v>
      </c>
      <c r="AP40" s="205"/>
      <c r="AQ40" s="205"/>
      <c r="AR4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0.26468210101603967</v>
      </c>
      <c r="AS4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40"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4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0" s="19" t="str">
        <f>IFERROR(Table1[[#This Row],[* Practice Efficiency]]*Table1[[#This Row],[* Load Before Treatment (kg/yr)]],"")</f>
        <v/>
      </c>
      <c r="AX40" s="100">
        <f>Table1[[#This Row],[Manually entered practice effiency ]]*Table1[[#This Row],[* Load Before Treatment (kg/yr)]]</f>
        <v>0.12969422949785944</v>
      </c>
      <c r="AY40" s="44" t="s">
        <v>121</v>
      </c>
      <c r="BA40" s="101">
        <v>1</v>
      </c>
      <c r="BB4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0.12969422949785944</v>
      </c>
      <c r="BC40" s="44"/>
      <c r="BD40" s="44"/>
      <c r="BJ40" s="43"/>
      <c r="BK40" s="45"/>
      <c r="BL40" s="45"/>
      <c r="BM4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4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0" s="19" t="str">
        <f>IFERROR(Table1[[#This Row],[* Prior Practice Efficiency]]*Table1[[#This Row],[* Prior Load Before Treatment (kg/year)]],"")</f>
        <v/>
      </c>
      <c r="BT40" s="19"/>
    </row>
    <row r="41" spans="1:72">
      <c r="A41" s="43" t="s">
        <v>358</v>
      </c>
      <c r="B41" s="43" t="s">
        <v>350</v>
      </c>
      <c r="C41" s="43" t="s">
        <v>109</v>
      </c>
      <c r="D41" s="43" t="s">
        <v>110</v>
      </c>
      <c r="K41" s="203"/>
      <c r="N41" s="48"/>
      <c r="O41" s="43" t="s">
        <v>113</v>
      </c>
      <c r="Q41" s="43">
        <v>2014</v>
      </c>
      <c r="U41" s="43" t="s">
        <v>134</v>
      </c>
      <c r="V41" s="43" t="str">
        <f>IFERROR(VLOOKUP(Table1[[#This Row],[LC TMDL Drainage Area]],Dropdowns!$P$3:$Q$23,2,FALSE),"")</f>
        <v>Main Lake</v>
      </c>
      <c r="W41" s="43" t="s">
        <v>115</v>
      </c>
      <c r="X41" s="43" t="s">
        <v>141</v>
      </c>
      <c r="Y41" s="44">
        <f>1.29*0.5</f>
        <v>0.64500000000000002</v>
      </c>
      <c r="Z41" s="43" t="s">
        <v>136</v>
      </c>
      <c r="AA41" s="43" t="s">
        <v>118</v>
      </c>
      <c r="AF41" s="43">
        <v>1.0000000000000001E-5</v>
      </c>
      <c r="AG41" s="43" t="s">
        <v>119</v>
      </c>
      <c r="AH41" s="203"/>
      <c r="AI41" s="203"/>
      <c r="AJ41" s="203"/>
      <c r="AK41" s="203"/>
      <c r="AL41" s="204"/>
      <c r="AM41">
        <v>0.56999999999999995</v>
      </c>
      <c r="AN41" s="50">
        <v>0</v>
      </c>
      <c r="AP41" s="205"/>
      <c r="AQ41" s="205"/>
      <c r="AR4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0.42362339408406519</v>
      </c>
      <c r="AS4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41"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4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1" s="19" t="str">
        <f>IFERROR(Table1[[#This Row],[* Practice Efficiency]]*Table1[[#This Row],[* Load Before Treatment (kg/yr)]],"")</f>
        <v/>
      </c>
      <c r="AX41" s="100">
        <f>Table1[[#This Row],[Manually entered practice effiency ]]*Table1[[#This Row],[* Load Before Treatment (kg/yr)]]</f>
        <v>0.24146533462791714</v>
      </c>
      <c r="AY41" s="44" t="s">
        <v>121</v>
      </c>
      <c r="BA41" s="101">
        <v>1</v>
      </c>
      <c r="BB4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0.24146533462791714</v>
      </c>
      <c r="BC41" s="44"/>
      <c r="BD41" s="44"/>
      <c r="BJ41" s="43"/>
      <c r="BK41" s="45"/>
      <c r="BL41" s="45"/>
      <c r="BM4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4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1" s="19" t="str">
        <f>IFERROR(Table1[[#This Row],[* Prior Practice Efficiency]]*Table1[[#This Row],[* Prior Load Before Treatment (kg/year)]],"")</f>
        <v/>
      </c>
      <c r="BT41" s="19"/>
    </row>
    <row r="42" spans="1:72">
      <c r="A42" s="43" t="s">
        <v>359</v>
      </c>
      <c r="B42" s="43" t="s">
        <v>350</v>
      </c>
      <c r="C42" s="43" t="s">
        <v>109</v>
      </c>
      <c r="D42" s="43" t="s">
        <v>110</v>
      </c>
      <c r="K42" s="203"/>
      <c r="N42" s="48"/>
      <c r="O42" s="43" t="s">
        <v>113</v>
      </c>
      <c r="Q42" s="43">
        <v>2014</v>
      </c>
      <c r="U42" s="43" t="s">
        <v>134</v>
      </c>
      <c r="V42" s="43" t="str">
        <f>IFERROR(VLOOKUP(Table1[[#This Row],[LC TMDL Drainage Area]],Dropdowns!$P$3:$Q$23,2,FALSE),"")</f>
        <v>Main Lake</v>
      </c>
      <c r="W42" s="43" t="s">
        <v>115</v>
      </c>
      <c r="X42" s="43" t="s">
        <v>141</v>
      </c>
      <c r="Y42" s="44">
        <f>0.31*0.5</f>
        <v>0.155</v>
      </c>
      <c r="Z42" s="43" t="s">
        <v>136</v>
      </c>
      <c r="AA42" s="43" t="s">
        <v>118</v>
      </c>
      <c r="AF42" s="43">
        <v>1.0000000000000001E-5</v>
      </c>
      <c r="AG42" s="43" t="s">
        <v>119</v>
      </c>
      <c r="AH42" s="203"/>
      <c r="AI42" s="203"/>
      <c r="AJ42" s="203"/>
      <c r="AK42" s="203"/>
      <c r="AL42" s="204"/>
      <c r="AM42">
        <v>0.49</v>
      </c>
      <c r="AN42" s="50">
        <v>0</v>
      </c>
      <c r="AP42" s="205"/>
      <c r="AQ42" s="205"/>
      <c r="AR4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0.10180097067136451</v>
      </c>
      <c r="AS4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42"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4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2" s="19" t="str">
        <f>IFERROR(Table1[[#This Row],[* Practice Efficiency]]*Table1[[#This Row],[* Load Before Treatment (kg/yr)]],"")</f>
        <v/>
      </c>
      <c r="AX42" s="100">
        <f>Table1[[#This Row],[Manually entered practice effiency ]]*Table1[[#This Row],[* Load Before Treatment (kg/yr)]]</f>
        <v>4.9882475628968609E-2</v>
      </c>
      <c r="AY42" s="44" t="s">
        <v>121</v>
      </c>
      <c r="BA42" s="101">
        <v>1</v>
      </c>
      <c r="BB4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4.9882475628968609E-2</v>
      </c>
      <c r="BC42" s="44"/>
      <c r="BD42" s="44"/>
      <c r="BJ42" s="43"/>
      <c r="BK42" s="45"/>
      <c r="BL42" s="45"/>
      <c r="BM4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4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2" s="19" t="str">
        <f>IFERROR(Table1[[#This Row],[* Prior Practice Efficiency]]*Table1[[#This Row],[* Prior Load Before Treatment (kg/year)]],"")</f>
        <v/>
      </c>
      <c r="BT42" s="19"/>
    </row>
    <row r="43" spans="1:72">
      <c r="A43" s="43" t="s">
        <v>360</v>
      </c>
      <c r="B43" s="43" t="s">
        <v>350</v>
      </c>
      <c r="C43" s="43" t="s">
        <v>109</v>
      </c>
      <c r="D43" s="43" t="s">
        <v>110</v>
      </c>
      <c r="K43" s="203"/>
      <c r="N43" s="48"/>
      <c r="O43" s="43" t="s">
        <v>113</v>
      </c>
      <c r="Q43" s="43">
        <v>2014</v>
      </c>
      <c r="U43" s="43" t="s">
        <v>134</v>
      </c>
      <c r="V43" s="43" t="str">
        <f>IFERROR(VLOOKUP(Table1[[#This Row],[LC TMDL Drainage Area]],Dropdowns!$P$3:$Q$23,2,FALSE),"")</f>
        <v>Main Lake</v>
      </c>
      <c r="W43" s="43" t="s">
        <v>115</v>
      </c>
      <c r="X43" s="43" t="s">
        <v>141</v>
      </c>
      <c r="Y43" s="43">
        <f>0.58*0.5</f>
        <v>0.28999999999999998</v>
      </c>
      <c r="Z43" s="43" t="s">
        <v>136</v>
      </c>
      <c r="AA43" s="43" t="s">
        <v>118</v>
      </c>
      <c r="AF43" s="43">
        <v>1.0000000000000001E-5</v>
      </c>
      <c r="AG43" s="43" t="s">
        <v>119</v>
      </c>
      <c r="AH43" s="203"/>
      <c r="AI43" s="203"/>
      <c r="AJ43" s="203"/>
      <c r="AK43" s="203"/>
      <c r="AL43" s="204"/>
      <c r="AM43">
        <v>0.49</v>
      </c>
      <c r="AN43" s="50">
        <v>0</v>
      </c>
      <c r="AP43" s="205"/>
      <c r="AQ43" s="205"/>
      <c r="AR4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0.19046633222384327</v>
      </c>
      <c r="AS4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43"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4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3" s="19" t="str">
        <f>IFERROR(Table1[[#This Row],[* Practice Efficiency]]*Table1[[#This Row],[* Load Before Treatment (kg/yr)]],"")</f>
        <v/>
      </c>
      <c r="AX43" s="100">
        <f>Table1[[#This Row],[Manually entered practice effiency ]]*Table1[[#This Row],[* Load Before Treatment (kg/yr)]]</f>
        <v>9.3328502789683201E-2</v>
      </c>
      <c r="AY43" s="44" t="s">
        <v>121</v>
      </c>
      <c r="BA43" s="101">
        <v>1</v>
      </c>
      <c r="BB4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9.3328502789683201E-2</v>
      </c>
      <c r="BC43" s="44"/>
      <c r="BD43" s="44"/>
      <c r="BJ43" s="43"/>
      <c r="BK43" s="45"/>
      <c r="BL43" s="45"/>
      <c r="BM4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4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3" s="19" t="str">
        <f>IFERROR(Table1[[#This Row],[* Prior Practice Efficiency]]*Table1[[#This Row],[* Prior Load Before Treatment (kg/year)]],"")</f>
        <v/>
      </c>
      <c r="BT43" s="19"/>
    </row>
    <row r="44" spans="1:72">
      <c r="B44" s="43" t="s">
        <v>662</v>
      </c>
      <c r="C44" s="43" t="s">
        <v>109</v>
      </c>
      <c r="D44" s="43" t="s">
        <v>110</v>
      </c>
      <c r="E44" s="47">
        <v>44.402706999999999</v>
      </c>
      <c r="F44" s="47">
        <v>-73.215227526162266</v>
      </c>
      <c r="G44" s="44">
        <v>0</v>
      </c>
      <c r="H44" s="44">
        <v>0</v>
      </c>
      <c r="I44" s="44">
        <v>4.8912659999999999</v>
      </c>
      <c r="J44" s="43" t="s">
        <v>162</v>
      </c>
      <c r="K44" s="203" t="s">
        <v>162</v>
      </c>
      <c r="N44" s="48"/>
      <c r="O44" s="43" t="s">
        <v>589</v>
      </c>
      <c r="P44" s="43" t="s">
        <v>660</v>
      </c>
      <c r="T44" s="43" t="s">
        <v>661</v>
      </c>
      <c r="U44" s="43" t="s">
        <v>499</v>
      </c>
      <c r="V44" s="43" t="s">
        <v>500</v>
      </c>
      <c r="W44" s="43" t="s">
        <v>115</v>
      </c>
      <c r="X44" s="43" t="s">
        <v>383</v>
      </c>
      <c r="Y44" s="43">
        <v>2.836052</v>
      </c>
      <c r="Z44" s="43" t="s">
        <v>146</v>
      </c>
      <c r="AA44" s="43" t="s">
        <v>118</v>
      </c>
      <c r="AF44" s="43">
        <v>2.0552139999999999</v>
      </c>
      <c r="AG44" s="43" t="s">
        <v>119</v>
      </c>
      <c r="AH44" s="203"/>
      <c r="AI44" s="203"/>
      <c r="AJ44" s="203"/>
      <c r="AK44" s="203"/>
      <c r="AL44" s="204"/>
      <c r="AN44" s="50">
        <v>6316.2</v>
      </c>
      <c r="AO44" s="43" t="s">
        <v>330</v>
      </c>
      <c r="AP44" s="205"/>
      <c r="AQ44" s="205"/>
      <c r="AR4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2.7765563829018358</v>
      </c>
      <c r="AS4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0.55086734603794707</v>
      </c>
      <c r="AT4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0.16000000000000003</v>
      </c>
      <c r="AU4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0.75433673018973546</v>
      </c>
      <c r="AV4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0.45069387683035772</v>
      </c>
      <c r="AW44" s="19">
        <f>IFERROR(Table1[[#This Row],[* Practice Efficiency]]*Table1[[#This Row],[* Load Before Treatment (kg/yr)]],"")</f>
        <v>1.2513769604481035</v>
      </c>
      <c r="AX44" s="100">
        <v>0</v>
      </c>
      <c r="AY44" s="44" t="s">
        <v>121</v>
      </c>
      <c r="BA44" s="101">
        <v>1</v>
      </c>
      <c r="BB4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1.2513769604481035</v>
      </c>
      <c r="BC44" s="44"/>
      <c r="BD44" s="44"/>
      <c r="BJ44" s="43"/>
      <c r="BK44" s="45"/>
      <c r="BL44" s="45"/>
      <c r="BM4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4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4" s="19" t="str">
        <f>IFERROR(Table1[[#This Row],[* Prior Practice Efficiency]]*Table1[[#This Row],[* Prior Load Before Treatment (kg/year)]],"")</f>
        <v/>
      </c>
      <c r="BT44" s="19"/>
    </row>
    <row r="45" spans="1:72">
      <c r="B45" s="43" t="s">
        <v>272</v>
      </c>
      <c r="C45" s="43" t="s">
        <v>109</v>
      </c>
      <c r="D45" s="43" t="s">
        <v>110</v>
      </c>
      <c r="G45" s="44">
        <v>0.05</v>
      </c>
      <c r="H45" s="44">
        <v>0.23</v>
      </c>
      <c r="I45" s="44">
        <v>5.03</v>
      </c>
      <c r="J45" s="43" t="s">
        <v>273</v>
      </c>
      <c r="K45" s="66" t="s">
        <v>274</v>
      </c>
      <c r="N45" s="48"/>
      <c r="O45" s="43" t="s">
        <v>113</v>
      </c>
      <c r="Q45" s="43">
        <v>2013</v>
      </c>
      <c r="U45" s="43" t="s">
        <v>134</v>
      </c>
      <c r="V45" s="43" t="str">
        <f>IFERROR(VLOOKUP(Table1[[#This Row],[LC TMDL Drainage Area]],Dropdowns!$P$3:$Q$23,2,FALSE),"")</f>
        <v>Main Lake</v>
      </c>
      <c r="W45" s="43" t="s">
        <v>115</v>
      </c>
      <c r="X45" s="43" t="s">
        <v>124</v>
      </c>
      <c r="Y45" s="43">
        <v>0.14000000000000001</v>
      </c>
      <c r="Z45" s="43" t="s">
        <v>136</v>
      </c>
      <c r="AA45" s="43" t="s">
        <v>118</v>
      </c>
      <c r="AB45" s="93"/>
      <c r="AC45" s="93"/>
      <c r="AD45" s="93"/>
      <c r="AE45" s="93"/>
      <c r="AF45" s="43">
        <v>4.8899999999999997</v>
      </c>
      <c r="AG45" s="43" t="s">
        <v>119</v>
      </c>
      <c r="AH45" s="4">
        <v>4</v>
      </c>
      <c r="AI45" s="4">
        <v>0.25</v>
      </c>
      <c r="AJ45" s="4">
        <v>4</v>
      </c>
      <c r="AK45" s="4">
        <v>300</v>
      </c>
      <c r="AL45" s="60"/>
      <c r="AM45"/>
      <c r="AN45" s="50">
        <v>375</v>
      </c>
      <c r="AP45" s="8" t="s">
        <v>196</v>
      </c>
      <c r="AQ45" s="8" t="s">
        <v>196</v>
      </c>
      <c r="AR4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9.1949263832200201E-2</v>
      </c>
      <c r="AS4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0.22181634534300082</v>
      </c>
      <c r="AT4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4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0.10908172671500405</v>
      </c>
      <c r="AV4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2.436326906860016E-2</v>
      </c>
      <c r="AW45" s="19">
        <f>IFERROR(Table1[[#This Row],[* Practice Efficiency]]*Table1[[#This Row],[* Load Before Treatment (kg/yr)]],"")</f>
        <v>2.2401846554035987E-3</v>
      </c>
      <c r="AX45" s="100">
        <f>Table1[[#This Row],[Manually entered practice effiency ]]*Table1[[#This Row],[* Load Before Treatment (kg/yr)]]</f>
        <v>0</v>
      </c>
      <c r="AY45" s="43" t="s">
        <v>121</v>
      </c>
      <c r="BA45" s="101">
        <v>1</v>
      </c>
      <c r="BB4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2.2401846554035987E-3</v>
      </c>
      <c r="BC45" s="44"/>
      <c r="BD45" s="44"/>
      <c r="BJ45" s="43"/>
      <c r="BK45" s="45"/>
      <c r="BL45" s="45"/>
      <c r="BM4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4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5" s="19" t="str">
        <f>IFERROR(Table1[[#This Row],[* Prior Practice Efficiency]]*Table1[[#This Row],[* Prior Load Before Treatment (kg/year)]],"")</f>
        <v/>
      </c>
      <c r="BT45" s="19" t="s">
        <v>275</v>
      </c>
    </row>
    <row r="46" spans="1:72">
      <c r="B46" s="43" t="s">
        <v>272</v>
      </c>
      <c r="C46" s="43" t="s">
        <v>109</v>
      </c>
      <c r="D46" s="43" t="s">
        <v>110</v>
      </c>
      <c r="G46" s="44">
        <v>0.34</v>
      </c>
      <c r="H46" s="44">
        <v>0.39</v>
      </c>
      <c r="I46" s="44">
        <v>7.08</v>
      </c>
      <c r="J46" s="43" t="s">
        <v>273</v>
      </c>
      <c r="K46" s="66" t="s">
        <v>276</v>
      </c>
      <c r="N46" s="48"/>
      <c r="O46" s="43" t="s">
        <v>113</v>
      </c>
      <c r="Q46" s="43">
        <v>2013</v>
      </c>
      <c r="U46" s="43" t="s">
        <v>134</v>
      </c>
      <c r="V46" s="43" t="str">
        <f>IFERROR(VLOOKUP(Table1[[#This Row],[LC TMDL Drainage Area]],Dropdowns!$P$3:$Q$23,2,FALSE),"")</f>
        <v>Main Lake</v>
      </c>
      <c r="W46" s="43" t="s">
        <v>115</v>
      </c>
      <c r="X46" s="43" t="s">
        <v>124</v>
      </c>
      <c r="Y46" s="43">
        <v>0.33</v>
      </c>
      <c r="Z46" s="43" t="s">
        <v>136</v>
      </c>
      <c r="AA46" s="43" t="s">
        <v>118</v>
      </c>
      <c r="AB46" s="93"/>
      <c r="AC46" s="93"/>
      <c r="AD46" s="93"/>
      <c r="AE46" s="93"/>
      <c r="AF46" s="43">
        <v>6.75</v>
      </c>
      <c r="AG46" s="43" t="s">
        <v>119</v>
      </c>
      <c r="AH46" s="5">
        <v>4</v>
      </c>
      <c r="AI46" s="5">
        <v>0.43</v>
      </c>
      <c r="AJ46" s="4">
        <v>4</v>
      </c>
      <c r="AK46" s="4">
        <v>500</v>
      </c>
      <c r="AL46" s="60"/>
      <c r="AM46"/>
      <c r="AN46" s="50">
        <v>1229.8</v>
      </c>
      <c r="AP46" s="8" t="s">
        <v>196</v>
      </c>
      <c r="AQ46" s="8" t="s">
        <v>196</v>
      </c>
      <c r="AR4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0.21673755046161478</v>
      </c>
      <c r="AS4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0.33953071730948203</v>
      </c>
      <c r="AT4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4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0.69765358654741005</v>
      </c>
      <c r="AV4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4.7906143461896394E-2</v>
      </c>
      <c r="AW46" s="19">
        <f>IFERROR(Table1[[#This Row],[* Practice Efficiency]]*Table1[[#This Row],[* Load Before Treatment (kg/yr)]],"")</f>
        <v>1.0383060185994126E-2</v>
      </c>
      <c r="AX46" s="100">
        <f>Table1[[#This Row],[Manually entered practice effiency ]]*Table1[[#This Row],[* Load Before Treatment (kg/yr)]]</f>
        <v>0</v>
      </c>
      <c r="AY46" s="43" t="s">
        <v>121</v>
      </c>
      <c r="BA46" s="101">
        <v>1</v>
      </c>
      <c r="BB4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1.0383060185994126E-2</v>
      </c>
      <c r="BC46" s="44"/>
      <c r="BD46" s="44"/>
      <c r="BJ46" s="43"/>
      <c r="BK46" s="45"/>
      <c r="BL46" s="45"/>
      <c r="BM4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4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6" s="19" t="str">
        <f>IFERROR(Table1[[#This Row],[* Prior Practice Efficiency]]*Table1[[#This Row],[* Prior Load Before Treatment (kg/year)]],"")</f>
        <v/>
      </c>
      <c r="BT46" s="19" t="s">
        <v>277</v>
      </c>
    </row>
    <row r="47" spans="1:72">
      <c r="B47" s="43" t="s">
        <v>272</v>
      </c>
      <c r="C47" s="43" t="s">
        <v>109</v>
      </c>
      <c r="D47" s="43" t="s">
        <v>110</v>
      </c>
      <c r="G47" s="44">
        <v>0.34</v>
      </c>
      <c r="H47" s="44">
        <v>0.39</v>
      </c>
      <c r="I47" s="44">
        <v>3.58</v>
      </c>
      <c r="J47" s="43" t="s">
        <v>273</v>
      </c>
      <c r="K47" s="66" t="s">
        <v>276</v>
      </c>
      <c r="N47" s="48"/>
      <c r="O47" s="43" t="s">
        <v>113</v>
      </c>
      <c r="Q47" s="43">
        <v>2013</v>
      </c>
      <c r="U47" s="43" t="s">
        <v>134</v>
      </c>
      <c r="V47" s="43" t="str">
        <f>IFERROR(VLOOKUP(Table1[[#This Row],[LC TMDL Drainage Area]],Dropdowns!$P$3:$Q$23,2,FALSE),"")</f>
        <v>Main Lake</v>
      </c>
      <c r="W47" s="43" t="s">
        <v>115</v>
      </c>
      <c r="X47" s="43" t="s">
        <v>124</v>
      </c>
      <c r="Y47" s="43">
        <v>0.22</v>
      </c>
      <c r="Z47" s="43" t="s">
        <v>146</v>
      </c>
      <c r="AA47" s="43" t="s">
        <v>118</v>
      </c>
      <c r="AB47" s="93"/>
      <c r="AC47" s="93"/>
      <c r="AD47" s="93"/>
      <c r="AE47" s="93"/>
      <c r="AF47" s="43">
        <v>3.36</v>
      </c>
      <c r="AG47" s="43" t="s">
        <v>119</v>
      </c>
      <c r="AH47" s="4">
        <v>4</v>
      </c>
      <c r="AI47" s="4">
        <v>0.3</v>
      </c>
      <c r="AJ47" s="4">
        <v>4</v>
      </c>
      <c r="AK47" s="4">
        <v>300</v>
      </c>
      <c r="AL47" s="60"/>
      <c r="AM47"/>
      <c r="AN47" s="50">
        <v>468</v>
      </c>
      <c r="AP47" s="8" t="s">
        <v>196</v>
      </c>
      <c r="AQ47" s="8" t="s">
        <v>196</v>
      </c>
      <c r="AR4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0.2239617777828028</v>
      </c>
      <c r="AS4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0.26603799777652942</v>
      </c>
      <c r="AT4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4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0.33018998888264706</v>
      </c>
      <c r="AV4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3.3207599555305882E-2</v>
      </c>
      <c r="AW47" s="19">
        <f>IFERROR(Table1[[#This Row],[* Practice Efficiency]]*Table1[[#This Row],[* Load Before Treatment (kg/yr)]],"")</f>
        <v>7.4372330323057168E-3</v>
      </c>
      <c r="AX47" s="100">
        <f>Table1[[#This Row],[Manually entered practice effiency ]]*Table1[[#This Row],[* Load Before Treatment (kg/yr)]]</f>
        <v>0</v>
      </c>
      <c r="AY47" s="43" t="s">
        <v>121</v>
      </c>
      <c r="BA47" s="101">
        <v>1</v>
      </c>
      <c r="BB4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7.4372330323057168E-3</v>
      </c>
      <c r="BC47" s="44"/>
      <c r="BD47" s="44"/>
      <c r="BJ47" s="43"/>
      <c r="BK47" s="45"/>
      <c r="BL47" s="45"/>
      <c r="BM4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4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7" s="19" t="str">
        <f>IFERROR(Table1[[#This Row],[* Prior Practice Efficiency]]*Table1[[#This Row],[* Prior Load Before Treatment (kg/year)]],"")</f>
        <v/>
      </c>
      <c r="BT47" s="19" t="s">
        <v>278</v>
      </c>
    </row>
    <row r="48" spans="1:72">
      <c r="A48" s="43" t="s">
        <v>279</v>
      </c>
      <c r="B48" s="43" t="s">
        <v>272</v>
      </c>
      <c r="C48" s="43" t="s">
        <v>109</v>
      </c>
      <c r="D48" s="43" t="s">
        <v>110</v>
      </c>
      <c r="G48" s="44">
        <v>0.1</v>
      </c>
      <c r="H48" s="44">
        <v>0.18</v>
      </c>
      <c r="I48" s="44">
        <v>0.74</v>
      </c>
      <c r="J48" s="43" t="s">
        <v>273</v>
      </c>
      <c r="K48" s="66" t="s">
        <v>280</v>
      </c>
      <c r="N48" s="48"/>
      <c r="O48" s="43" t="s">
        <v>113</v>
      </c>
      <c r="Q48" s="43">
        <v>2013</v>
      </c>
      <c r="U48" s="43" t="s">
        <v>134</v>
      </c>
      <c r="V48" s="43" t="str">
        <f>IFERROR(VLOOKUP(Table1[[#This Row],[LC TMDL Drainage Area]],Dropdowns!$P$3:$Q$23,2,FALSE),"")</f>
        <v>Main Lake</v>
      </c>
      <c r="W48" s="43" t="s">
        <v>115</v>
      </c>
      <c r="X48" s="43" t="s">
        <v>124</v>
      </c>
      <c r="Y48" s="43">
        <v>0.04</v>
      </c>
      <c r="Z48" s="43" t="s">
        <v>146</v>
      </c>
      <c r="AA48" s="43" t="s">
        <v>118</v>
      </c>
      <c r="AB48" s="93"/>
      <c r="AC48" s="93"/>
      <c r="AD48" s="93"/>
      <c r="AE48" s="93"/>
      <c r="AF48" s="43">
        <v>0.7</v>
      </c>
      <c r="AG48" s="43" t="s">
        <v>119</v>
      </c>
      <c r="AH48" s="5">
        <v>4</v>
      </c>
      <c r="AI48" s="5">
        <v>0.15</v>
      </c>
      <c r="AJ48" s="4">
        <v>4</v>
      </c>
      <c r="AK48" s="4">
        <v>250</v>
      </c>
      <c r="AL48" s="60"/>
      <c r="AM48"/>
      <c r="AN48" s="50">
        <v>172.5</v>
      </c>
      <c r="AP48" s="8" t="s">
        <v>196</v>
      </c>
      <c r="AQ48" s="8" t="s">
        <v>196</v>
      </c>
      <c r="AR4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4.072032323323687E-2</v>
      </c>
      <c r="AS4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0.39578311274146905</v>
      </c>
      <c r="AT4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4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0.97891556370734512</v>
      </c>
      <c r="AV4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5.9156622548293805E-2</v>
      </c>
      <c r="AW48" s="19">
        <f>IFERROR(Table1[[#This Row],[* Practice Efficiency]]*Table1[[#This Row],[* Load Before Treatment (kg/yr)]],"")</f>
        <v>2.4088767915531125E-3</v>
      </c>
      <c r="AX48" s="100">
        <f>Table1[[#This Row],[Manually entered practice effiency ]]*Table1[[#This Row],[* Load Before Treatment (kg/yr)]]</f>
        <v>0</v>
      </c>
      <c r="AY48" s="43" t="s">
        <v>121</v>
      </c>
      <c r="BA48" s="101">
        <v>1</v>
      </c>
      <c r="BB4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2.4088767915531125E-3</v>
      </c>
      <c r="BC48" s="44"/>
      <c r="BD48" s="44"/>
      <c r="BJ48" s="43"/>
      <c r="BK48" s="45"/>
      <c r="BL48" s="45"/>
      <c r="BM4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4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8" s="19" t="str">
        <f>IFERROR(Table1[[#This Row],[* Prior Practice Efficiency]]*Table1[[#This Row],[* Prior Load Before Treatment (kg/year)]],"")</f>
        <v/>
      </c>
      <c r="BT48" s="19" t="s">
        <v>281</v>
      </c>
    </row>
    <row r="49" spans="1:72">
      <c r="B49" s="43" t="s">
        <v>272</v>
      </c>
      <c r="C49" s="43" t="s">
        <v>109</v>
      </c>
      <c r="D49" s="43" t="s">
        <v>110</v>
      </c>
      <c r="G49" s="44">
        <v>0.49</v>
      </c>
      <c r="H49" s="44">
        <v>0.03</v>
      </c>
      <c r="I49" s="44">
        <v>0.54</v>
      </c>
      <c r="J49" s="43" t="s">
        <v>273</v>
      </c>
      <c r="K49" s="66" t="s">
        <v>282</v>
      </c>
      <c r="N49" s="48"/>
      <c r="O49" s="43" t="s">
        <v>113</v>
      </c>
      <c r="Q49" s="43">
        <v>2013</v>
      </c>
      <c r="U49" s="43" t="s">
        <v>134</v>
      </c>
      <c r="V49" s="43" t="str">
        <f>IFERROR(VLOOKUP(Table1[[#This Row],[LC TMDL Drainage Area]],Dropdowns!$P$3:$Q$23,2,FALSE),"")</f>
        <v>Main Lake</v>
      </c>
      <c r="W49" s="43" t="s">
        <v>115</v>
      </c>
      <c r="X49" s="43" t="s">
        <v>124</v>
      </c>
      <c r="Y49" s="43">
        <v>0.17</v>
      </c>
      <c r="Z49" s="43" t="s">
        <v>146</v>
      </c>
      <c r="AA49" s="43" t="s">
        <v>118</v>
      </c>
      <c r="AB49" s="93"/>
      <c r="AC49" s="93"/>
      <c r="AD49" s="93"/>
      <c r="AE49" s="93"/>
      <c r="AF49" s="43">
        <v>0.37</v>
      </c>
      <c r="AG49" s="43" t="s">
        <v>119</v>
      </c>
      <c r="AH49" s="4">
        <v>6</v>
      </c>
      <c r="AI49" s="4">
        <v>0.19</v>
      </c>
      <c r="AJ49" s="4">
        <v>4</v>
      </c>
      <c r="AK49" s="4">
        <v>200</v>
      </c>
      <c r="AL49" s="60"/>
      <c r="AM49"/>
      <c r="AN49" s="50">
        <v>256.88</v>
      </c>
      <c r="AP49" s="8" t="s">
        <v>196</v>
      </c>
      <c r="AQ49" s="8" t="s">
        <v>196</v>
      </c>
      <c r="AR4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0.17306137374125671</v>
      </c>
      <c r="AS4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0.34208602951255268</v>
      </c>
      <c r="AT4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4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0.71043014756276335</v>
      </c>
      <c r="AV4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4.8417205902510529E-2</v>
      </c>
      <c r="AW49" s="19">
        <f>IFERROR(Table1[[#This Row],[* Practice Efficiency]]*Table1[[#This Row],[* Load Before Treatment (kg/yr)]],"")</f>
        <v>8.3791481662017549E-3</v>
      </c>
      <c r="AX49" s="100">
        <f>Table1[[#This Row],[Manually entered practice effiency ]]*Table1[[#This Row],[* Load Before Treatment (kg/yr)]]</f>
        <v>0</v>
      </c>
      <c r="AY49" s="43" t="s">
        <v>121</v>
      </c>
      <c r="BA49" s="101">
        <v>1</v>
      </c>
      <c r="BB4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8.3791481662017549E-3</v>
      </c>
      <c r="BC49" s="44"/>
      <c r="BD49" s="44"/>
      <c r="BJ49" s="43"/>
      <c r="BK49" s="45"/>
      <c r="BL49" s="45"/>
      <c r="BM4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4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9" s="19" t="str">
        <f>IFERROR(Table1[[#This Row],[* Prior Practice Efficiency]]*Table1[[#This Row],[* Prior Load Before Treatment (kg/year)]],"")</f>
        <v/>
      </c>
      <c r="BT49" s="19" t="s">
        <v>283</v>
      </c>
    </row>
    <row r="50" spans="1:72">
      <c r="B50" s="43" t="s">
        <v>272</v>
      </c>
      <c r="C50" s="43" t="s">
        <v>109</v>
      </c>
      <c r="D50" s="43" t="s">
        <v>110</v>
      </c>
      <c r="G50" s="44">
        <v>0.59</v>
      </c>
      <c r="H50" s="44">
        <v>0.1</v>
      </c>
      <c r="I50" s="44">
        <v>0.14000000000000001</v>
      </c>
      <c r="J50" s="43" t="s">
        <v>273</v>
      </c>
      <c r="K50" s="66" t="s">
        <v>284</v>
      </c>
      <c r="N50" s="48"/>
      <c r="O50" s="43" t="s">
        <v>113</v>
      </c>
      <c r="Q50" s="43">
        <v>2013</v>
      </c>
      <c r="U50" s="43" t="s">
        <v>134</v>
      </c>
      <c r="V50" s="43" t="str">
        <f>IFERROR(VLOOKUP(Table1[[#This Row],[LC TMDL Drainage Area]],Dropdowns!$P$3:$Q$23,2,FALSE),"")</f>
        <v>Main Lake</v>
      </c>
      <c r="W50" s="43" t="s">
        <v>115</v>
      </c>
      <c r="X50" s="43" t="s">
        <v>124</v>
      </c>
      <c r="Y50" s="43">
        <v>0.01</v>
      </c>
      <c r="Z50" s="43" t="s">
        <v>146</v>
      </c>
      <c r="AA50" s="43" t="s">
        <v>118</v>
      </c>
      <c r="AB50" s="93"/>
      <c r="AC50" s="93"/>
      <c r="AD50" s="93"/>
      <c r="AE50" s="93"/>
      <c r="AF50" s="43">
        <v>0.13</v>
      </c>
      <c r="AG50" s="43" t="s">
        <v>119</v>
      </c>
      <c r="AH50" s="5">
        <v>6</v>
      </c>
      <c r="AI50" s="5">
        <v>0.08</v>
      </c>
      <c r="AJ50" s="4">
        <v>4</v>
      </c>
      <c r="AK50" s="4">
        <v>67</v>
      </c>
      <c r="AL50" s="60"/>
      <c r="AM50"/>
      <c r="AN50" s="50">
        <v>33.875200000000007</v>
      </c>
      <c r="AP50" s="8" t="s">
        <v>196</v>
      </c>
      <c r="AQ50" s="8" t="s">
        <v>196</v>
      </c>
      <c r="AR5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1.0180080808309218E-2</v>
      </c>
      <c r="AS5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0.38251939537284407</v>
      </c>
      <c r="AT5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5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0.91259697686422026</v>
      </c>
      <c r="AV5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5.6503879074568802E-2</v>
      </c>
      <c r="AW50" s="19">
        <f>IFERROR(Table1[[#This Row],[* Practice Efficiency]]*Table1[[#This Row],[* Load Before Treatment (kg/yr)]],"")</f>
        <v>5.7521405496204262E-4</v>
      </c>
      <c r="AX50" s="100">
        <f>Table1[[#This Row],[Manually entered practice effiency ]]*Table1[[#This Row],[* Load Before Treatment (kg/yr)]]</f>
        <v>0</v>
      </c>
      <c r="AY50" s="43" t="s">
        <v>121</v>
      </c>
      <c r="BA50" s="101">
        <v>1</v>
      </c>
      <c r="BB5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5.7521405496204262E-4</v>
      </c>
      <c r="BC50" s="44"/>
      <c r="BD50" s="44"/>
      <c r="BJ50" s="43"/>
      <c r="BK50" s="45"/>
      <c r="BL50" s="45"/>
      <c r="BM5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5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5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5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5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50" s="19" t="str">
        <f>IFERROR(Table1[[#This Row],[* Prior Practice Efficiency]]*Table1[[#This Row],[* Prior Load Before Treatment (kg/year)]],"")</f>
        <v/>
      </c>
      <c r="BT50" s="19" t="s">
        <v>285</v>
      </c>
    </row>
    <row r="51" spans="1:72">
      <c r="B51" s="43" t="s">
        <v>272</v>
      </c>
      <c r="C51" s="43" t="s">
        <v>109</v>
      </c>
      <c r="D51" s="43" t="s">
        <v>110</v>
      </c>
      <c r="G51" s="44">
        <v>0.59</v>
      </c>
      <c r="H51" s="44">
        <v>0.1</v>
      </c>
      <c r="I51" s="44">
        <v>2.0099999999999998</v>
      </c>
      <c r="J51" s="43" t="s">
        <v>273</v>
      </c>
      <c r="K51" s="66" t="s">
        <v>284</v>
      </c>
      <c r="N51" s="48"/>
      <c r="O51" s="43" t="s">
        <v>113</v>
      </c>
      <c r="Q51" s="43">
        <v>2013</v>
      </c>
      <c r="U51" s="43" t="s">
        <v>134</v>
      </c>
      <c r="V51" s="43" t="str">
        <f>IFERROR(VLOOKUP(Table1[[#This Row],[LC TMDL Drainage Area]],Dropdowns!$P$3:$Q$23,2,FALSE),"")</f>
        <v>Main Lake</v>
      </c>
      <c r="W51" s="43" t="s">
        <v>115</v>
      </c>
      <c r="X51" s="43" t="s">
        <v>124</v>
      </c>
      <c r="Y51" s="43">
        <v>0.67</v>
      </c>
      <c r="Z51" s="43" t="s">
        <v>146</v>
      </c>
      <c r="AA51" s="43" t="s">
        <v>118</v>
      </c>
      <c r="AB51" s="93"/>
      <c r="AC51" s="93"/>
      <c r="AD51" s="93"/>
      <c r="AE51" s="93"/>
      <c r="AF51" s="43">
        <v>1.34</v>
      </c>
      <c r="AG51" s="43" t="s">
        <v>119</v>
      </c>
      <c r="AH51" s="4">
        <v>4</v>
      </c>
      <c r="AI51" s="4">
        <v>0.36</v>
      </c>
      <c r="AJ51" s="4">
        <v>4</v>
      </c>
      <c r="AK51" s="4">
        <v>933</v>
      </c>
      <c r="AL51" s="60"/>
      <c r="AM51"/>
      <c r="AN51" s="50">
        <v>1827.1871999999996</v>
      </c>
      <c r="AP51" s="8" t="s">
        <v>196</v>
      </c>
      <c r="AQ51" s="8" t="s">
        <v>196</v>
      </c>
      <c r="AR5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0.68206541415671762</v>
      </c>
      <c r="AS5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0.56776720006754511</v>
      </c>
      <c r="AT5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5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0.83883600033772565</v>
      </c>
      <c r="AV5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8.3553440013509034E-2</v>
      </c>
      <c r="AW51" s="19">
        <f>IFERROR(Table1[[#This Row],[* Practice Efficiency]]*Table1[[#This Row],[* Load Before Treatment (kg/yr)]],"")</f>
        <v>5.6988911667032502E-2</v>
      </c>
      <c r="AX51" s="100">
        <f>Table1[[#This Row],[Manually entered practice effiency ]]*Table1[[#This Row],[* Load Before Treatment (kg/yr)]]</f>
        <v>0</v>
      </c>
      <c r="AY51" s="43" t="s">
        <v>121</v>
      </c>
      <c r="BA51" s="101">
        <v>1</v>
      </c>
      <c r="BB5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5.6988911667032502E-2</v>
      </c>
      <c r="BC51" s="44"/>
      <c r="BD51" s="44"/>
      <c r="BJ51" s="43"/>
      <c r="BK51" s="45"/>
      <c r="BL51" s="45"/>
      <c r="BM5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5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5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5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5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51" s="19" t="str">
        <f>IFERROR(Table1[[#This Row],[* Prior Practice Efficiency]]*Table1[[#This Row],[* Prior Load Before Treatment (kg/year)]],"")</f>
        <v/>
      </c>
      <c r="BT51" s="19" t="s">
        <v>286</v>
      </c>
    </row>
    <row r="52" spans="1:72">
      <c r="B52" s="43" t="s">
        <v>272</v>
      </c>
      <c r="C52" s="43" t="s">
        <v>109</v>
      </c>
      <c r="D52" s="43" t="s">
        <v>110</v>
      </c>
      <c r="G52" s="44">
        <v>0.31</v>
      </c>
      <c r="H52" s="44">
        <v>0</v>
      </c>
      <c r="I52" s="44">
        <v>0.14000000000000001</v>
      </c>
      <c r="J52" s="43" t="s">
        <v>273</v>
      </c>
      <c r="K52" s="66" t="s">
        <v>287</v>
      </c>
      <c r="N52" s="48"/>
      <c r="O52" s="43" t="s">
        <v>113</v>
      </c>
      <c r="Q52" s="43">
        <v>2013</v>
      </c>
      <c r="U52" s="43" t="s">
        <v>134</v>
      </c>
      <c r="V52" s="43" t="str">
        <f>IFERROR(VLOOKUP(Table1[[#This Row],[LC TMDL Drainage Area]],Dropdowns!$P$3:$Q$23,2,FALSE),"")</f>
        <v>Main Lake</v>
      </c>
      <c r="W52" s="43" t="s">
        <v>115</v>
      </c>
      <c r="X52" s="43" t="s">
        <v>124</v>
      </c>
      <c r="Y52" s="43">
        <v>0.04</v>
      </c>
      <c r="Z52" s="43" t="s">
        <v>146</v>
      </c>
      <c r="AA52" s="43" t="s">
        <v>118</v>
      </c>
      <c r="AB52" s="93"/>
      <c r="AC52" s="93"/>
      <c r="AD52" s="93"/>
      <c r="AE52" s="93"/>
      <c r="AF52" s="43">
        <v>0.1</v>
      </c>
      <c r="AG52" s="43" t="s">
        <v>119</v>
      </c>
      <c r="AH52" s="5">
        <v>6</v>
      </c>
      <c r="AI52" s="5">
        <v>0.11</v>
      </c>
      <c r="AJ52" s="4">
        <v>4</v>
      </c>
      <c r="AK52" s="4">
        <v>93</v>
      </c>
      <c r="AL52" s="60"/>
      <c r="AM52"/>
      <c r="AN52" s="50">
        <v>65.881200000000007</v>
      </c>
      <c r="AP52" s="8" t="s">
        <v>196</v>
      </c>
      <c r="AQ52" s="8" t="s">
        <v>196</v>
      </c>
      <c r="AR5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4.072032323323687E-2</v>
      </c>
      <c r="AS5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0.35975262720534074</v>
      </c>
      <c r="AT5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5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0.79876313602670357</v>
      </c>
      <c r="AV5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5.1950525441068138E-2</v>
      </c>
      <c r="AW52" s="19">
        <f>IFERROR(Table1[[#This Row],[* Practice Efficiency]]*Table1[[#This Row],[* Load Before Treatment (kg/yr)]],"")</f>
        <v>2.1154421880967898E-3</v>
      </c>
      <c r="AX52" s="100">
        <f>Table1[[#This Row],[Manually entered practice effiency ]]*Table1[[#This Row],[* Load Before Treatment (kg/yr)]]</f>
        <v>0</v>
      </c>
      <c r="AY52" s="43" t="s">
        <v>121</v>
      </c>
      <c r="BA52" s="101">
        <v>1</v>
      </c>
      <c r="BB5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2.1154421880967898E-3</v>
      </c>
      <c r="BC52" s="44"/>
      <c r="BD52" s="44"/>
      <c r="BJ52" s="43"/>
      <c r="BK52" s="45"/>
      <c r="BL52" s="45"/>
      <c r="BM5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5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5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5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5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52" s="19" t="str">
        <f>IFERROR(Table1[[#This Row],[* Prior Practice Efficiency]]*Table1[[#This Row],[* Prior Load Before Treatment (kg/year)]],"")</f>
        <v/>
      </c>
      <c r="BT52" s="19" t="s">
        <v>288</v>
      </c>
    </row>
    <row r="53" spans="1:72">
      <c r="B53" s="43" t="s">
        <v>272</v>
      </c>
      <c r="C53" s="43" t="s">
        <v>109</v>
      </c>
      <c r="D53" s="43" t="s">
        <v>110</v>
      </c>
      <c r="G53" s="44">
        <v>0.31</v>
      </c>
      <c r="H53" s="44">
        <v>0</v>
      </c>
      <c r="I53" s="44">
        <v>0.7</v>
      </c>
      <c r="J53" s="43" t="s">
        <v>273</v>
      </c>
      <c r="K53" s="66" t="s">
        <v>287</v>
      </c>
      <c r="N53" s="48"/>
      <c r="O53" s="43" t="s">
        <v>113</v>
      </c>
      <c r="Q53" s="43">
        <v>2013</v>
      </c>
      <c r="U53" s="43" t="s">
        <v>134</v>
      </c>
      <c r="V53" s="43" t="str">
        <f>IFERROR(VLOOKUP(Table1[[#This Row],[LC TMDL Drainage Area]],Dropdowns!$P$3:$Q$23,2,FALSE),"")</f>
        <v>Main Lake</v>
      </c>
      <c r="W53" s="43" t="s">
        <v>115</v>
      </c>
      <c r="X53" s="43" t="s">
        <v>124</v>
      </c>
      <c r="Y53" s="43">
        <v>0.27</v>
      </c>
      <c r="Z53" s="43" t="s">
        <v>146</v>
      </c>
      <c r="AA53" s="43" t="s">
        <v>118</v>
      </c>
      <c r="AB53" s="93"/>
      <c r="AC53" s="93"/>
      <c r="AD53" s="93"/>
      <c r="AE53" s="93"/>
      <c r="AF53" s="43">
        <v>0.43</v>
      </c>
      <c r="AG53" s="43" t="s">
        <v>119</v>
      </c>
      <c r="AH53" s="4">
        <v>4</v>
      </c>
      <c r="AI53" s="4">
        <v>0.25</v>
      </c>
      <c r="AJ53" s="4">
        <v>4</v>
      </c>
      <c r="AK53" s="4">
        <v>407</v>
      </c>
      <c r="AL53" s="60"/>
      <c r="AM53"/>
      <c r="AN53" s="50">
        <v>508.75</v>
      </c>
      <c r="AP53" s="8" t="s">
        <v>196</v>
      </c>
      <c r="AQ53" s="8" t="s">
        <v>196</v>
      </c>
      <c r="AR5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0.27486218182434891</v>
      </c>
      <c r="AS5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0.43311183293428923</v>
      </c>
      <c r="AT5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5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0.16555916467144607</v>
      </c>
      <c r="AV5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5.6622366586857847E-2</v>
      </c>
      <c r="AW53" s="19">
        <f>IFERROR(Table1[[#This Row],[* Practice Efficiency]]*Table1[[#This Row],[* Load Before Treatment (kg/yr)]],"")</f>
        <v>1.556334722012186E-2</v>
      </c>
      <c r="AX53" s="100">
        <f>Table1[[#This Row],[Manually entered practice effiency ]]*Table1[[#This Row],[* Load Before Treatment (kg/yr)]]</f>
        <v>0</v>
      </c>
      <c r="AY53" s="43" t="s">
        <v>121</v>
      </c>
      <c r="BA53" s="101">
        <v>1</v>
      </c>
      <c r="BB5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1.556334722012186E-2</v>
      </c>
      <c r="BC53" s="44"/>
      <c r="BD53" s="44"/>
      <c r="BJ53" s="43"/>
      <c r="BK53" s="45"/>
      <c r="BL53" s="45"/>
      <c r="BM5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5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5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5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5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53" s="19" t="str">
        <f>IFERROR(Table1[[#This Row],[* Prior Practice Efficiency]]*Table1[[#This Row],[* Prior Load Before Treatment (kg/year)]],"")</f>
        <v/>
      </c>
      <c r="BT53" s="19" t="s">
        <v>289</v>
      </c>
    </row>
    <row r="54" spans="1:72">
      <c r="B54" s="43" t="s">
        <v>272</v>
      </c>
      <c r="C54" s="43" t="s">
        <v>109</v>
      </c>
      <c r="D54" s="43" t="s">
        <v>110</v>
      </c>
      <c r="G54" s="44">
        <v>0.72</v>
      </c>
      <c r="H54" s="44">
        <v>0.18</v>
      </c>
      <c r="I54" s="44">
        <v>0.21</v>
      </c>
      <c r="J54" s="43" t="s">
        <v>273</v>
      </c>
      <c r="K54" s="66" t="s">
        <v>290</v>
      </c>
      <c r="N54" s="48"/>
      <c r="O54" s="43" t="s">
        <v>113</v>
      </c>
      <c r="Q54" s="43">
        <v>2013</v>
      </c>
      <c r="U54" s="43" t="s">
        <v>134</v>
      </c>
      <c r="V54" s="43" t="str">
        <f>IFERROR(VLOOKUP(Table1[[#This Row],[LC TMDL Drainage Area]],Dropdowns!$P$3:$Q$23,2,FALSE),"")</f>
        <v>Main Lake</v>
      </c>
      <c r="W54" s="43" t="s">
        <v>115</v>
      </c>
      <c r="X54" s="43" t="s">
        <v>124</v>
      </c>
      <c r="Y54" s="43">
        <v>0.1</v>
      </c>
      <c r="Z54" s="43" t="s">
        <v>146</v>
      </c>
      <c r="AA54" s="43" t="s">
        <v>118</v>
      </c>
      <c r="AB54" s="93"/>
      <c r="AC54" s="93"/>
      <c r="AD54" s="93"/>
      <c r="AE54" s="93"/>
      <c r="AF54" s="43">
        <v>0.11</v>
      </c>
      <c r="AG54" s="43" t="s">
        <v>119</v>
      </c>
      <c r="AH54" s="5">
        <v>6</v>
      </c>
      <c r="AI54" s="5">
        <v>0.21</v>
      </c>
      <c r="AJ54" s="4">
        <v>4</v>
      </c>
      <c r="AK54" s="4">
        <v>100</v>
      </c>
      <c r="AL54" s="60"/>
      <c r="AM54"/>
      <c r="AN54" s="50">
        <v>143.63999999999999</v>
      </c>
      <c r="AP54" s="8" t="s">
        <v>196</v>
      </c>
      <c r="AQ54" s="8" t="s">
        <v>196</v>
      </c>
      <c r="AR5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0.10180080808309218</v>
      </c>
      <c r="AS5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0.35533544107107218</v>
      </c>
      <c r="AT5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5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0.77667720535536078</v>
      </c>
      <c r="AV5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5.1067088214214428E-2</v>
      </c>
      <c r="AW54" s="19">
        <f>IFERROR(Table1[[#This Row],[* Practice Efficiency]]*Table1[[#This Row],[* Load Before Treatment (kg/yr)]],"")</f>
        <v>5.1986708466575816E-3</v>
      </c>
      <c r="AX54" s="100">
        <f>Table1[[#This Row],[Manually entered practice effiency ]]*Table1[[#This Row],[* Load Before Treatment (kg/yr)]]</f>
        <v>0</v>
      </c>
      <c r="AY54" s="43" t="s">
        <v>121</v>
      </c>
      <c r="BA54" s="101">
        <v>1</v>
      </c>
      <c r="BB5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5.1986708466575816E-3</v>
      </c>
      <c r="BC54" s="44"/>
      <c r="BD54" s="44"/>
      <c r="BJ54" s="43"/>
      <c r="BK54" s="45"/>
      <c r="BL54" s="45"/>
      <c r="BM5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5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5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5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5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54" s="19" t="str">
        <f>IFERROR(Table1[[#This Row],[* Prior Practice Efficiency]]*Table1[[#This Row],[* Prior Load Before Treatment (kg/year)]],"")</f>
        <v/>
      </c>
      <c r="BT54" s="19" t="s">
        <v>291</v>
      </c>
    </row>
    <row r="55" spans="1:72">
      <c r="B55" s="43" t="s">
        <v>272</v>
      </c>
      <c r="C55" s="43" t="s">
        <v>109</v>
      </c>
      <c r="D55" s="43" t="s">
        <v>110</v>
      </c>
      <c r="G55" s="44">
        <v>0.72</v>
      </c>
      <c r="H55" s="44">
        <v>0.18</v>
      </c>
      <c r="I55" s="44">
        <v>2.72</v>
      </c>
      <c r="J55" s="43" t="s">
        <v>273</v>
      </c>
      <c r="K55" s="66" t="s">
        <v>290</v>
      </c>
      <c r="N55" s="48"/>
      <c r="O55" s="43" t="s">
        <v>113</v>
      </c>
      <c r="Q55" s="43">
        <v>2013</v>
      </c>
      <c r="U55" s="43" t="s">
        <v>134</v>
      </c>
      <c r="V55" s="43" t="str">
        <f>IFERROR(VLOOKUP(Table1[[#This Row],[LC TMDL Drainage Area]],Dropdowns!$P$3:$Q$23,2,FALSE),"")</f>
        <v>Main Lake</v>
      </c>
      <c r="W55" s="43" t="s">
        <v>115</v>
      </c>
      <c r="X55" s="43" t="s">
        <v>124</v>
      </c>
      <c r="Y55" s="43">
        <v>0.69</v>
      </c>
      <c r="Z55" s="43" t="s">
        <v>146</v>
      </c>
      <c r="AA55" s="43" t="s">
        <v>118</v>
      </c>
      <c r="AB55" s="93"/>
      <c r="AC55" s="93"/>
      <c r="AD55" s="93"/>
      <c r="AE55" s="93"/>
      <c r="AF55" s="43">
        <v>2.0299999999999998</v>
      </c>
      <c r="AG55" s="43" t="s">
        <v>119</v>
      </c>
      <c r="AH55" s="4">
        <v>8</v>
      </c>
      <c r="AI55" s="4">
        <v>0.26</v>
      </c>
      <c r="AJ55" s="4">
        <v>4</v>
      </c>
      <c r="AK55" s="4">
        <v>700</v>
      </c>
      <c r="AL55" s="60"/>
      <c r="AM55"/>
      <c r="AN55" s="50">
        <v>1645.28</v>
      </c>
      <c r="AP55" s="8" t="s">
        <v>196</v>
      </c>
      <c r="AQ55" s="8" t="s">
        <v>196</v>
      </c>
      <c r="AR5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0.70242557577333598</v>
      </c>
      <c r="AS5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0.470300844995451</v>
      </c>
      <c r="AT5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5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0.35150422497725492</v>
      </c>
      <c r="AV5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6.40601689990902E-2</v>
      </c>
      <c r="AW55" s="19">
        <f>IFERROR(Table1[[#This Row],[* Practice Efficiency]]*Table1[[#This Row],[* Load Before Treatment (kg/yr)]],"")</f>
        <v>4.4997501093323143E-2</v>
      </c>
      <c r="AX55" s="100">
        <f>Table1[[#This Row],[Manually entered practice effiency ]]*Table1[[#This Row],[* Load Before Treatment (kg/yr)]]</f>
        <v>0</v>
      </c>
      <c r="AY55" s="43" t="s">
        <v>121</v>
      </c>
      <c r="BA55" s="101">
        <v>1</v>
      </c>
      <c r="BB5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4.4997501093323143E-2</v>
      </c>
      <c r="BC55" s="44"/>
      <c r="BD55" s="44"/>
      <c r="BJ55" s="43"/>
      <c r="BK55" s="45"/>
      <c r="BL55" s="45"/>
      <c r="BM5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5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5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5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5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55" s="19" t="str">
        <f>IFERROR(Table1[[#This Row],[* Prior Practice Efficiency]]*Table1[[#This Row],[* Prior Load Before Treatment (kg/year)]],"")</f>
        <v/>
      </c>
      <c r="BT55" s="19" t="s">
        <v>292</v>
      </c>
    </row>
    <row r="56" spans="1:72">
      <c r="B56" s="43" t="s">
        <v>272</v>
      </c>
      <c r="C56" s="43" t="s">
        <v>109</v>
      </c>
      <c r="D56" s="43" t="s">
        <v>110</v>
      </c>
      <c r="G56" s="44">
        <v>0.28999999999999998</v>
      </c>
      <c r="H56" s="44">
        <v>0.28999999999999998</v>
      </c>
      <c r="I56" s="44">
        <v>8.85</v>
      </c>
      <c r="J56" s="43" t="s">
        <v>273</v>
      </c>
      <c r="K56" s="66" t="s">
        <v>293</v>
      </c>
      <c r="N56" s="48"/>
      <c r="O56" s="43" t="s">
        <v>113</v>
      </c>
      <c r="Q56" s="43">
        <v>2013</v>
      </c>
      <c r="U56" s="43" t="s">
        <v>134</v>
      </c>
      <c r="V56" s="43" t="str">
        <f>IFERROR(VLOOKUP(Table1[[#This Row],[LC TMDL Drainage Area]],Dropdowns!$P$3:$Q$23,2,FALSE),"")</f>
        <v>Main Lake</v>
      </c>
      <c r="W56" s="43" t="s">
        <v>115</v>
      </c>
      <c r="X56" s="43" t="s">
        <v>124</v>
      </c>
      <c r="Y56" s="43">
        <v>0.31</v>
      </c>
      <c r="Z56" s="43" t="s">
        <v>136</v>
      </c>
      <c r="AA56" s="43" t="s">
        <v>118</v>
      </c>
      <c r="AB56" s="93"/>
      <c r="AC56" s="93"/>
      <c r="AD56" s="93"/>
      <c r="AE56" s="93"/>
      <c r="AF56" s="43">
        <v>8.5399999999999991</v>
      </c>
      <c r="AG56" s="43" t="s">
        <v>119</v>
      </c>
      <c r="AH56" s="5">
        <v>4</v>
      </c>
      <c r="AI56" s="5">
        <v>0.34</v>
      </c>
      <c r="AJ56" s="4">
        <v>4</v>
      </c>
      <c r="AK56" s="4">
        <v>650</v>
      </c>
      <c r="AL56" s="60"/>
      <c r="AM56"/>
      <c r="AN56" s="50">
        <v>1184.5600000000002</v>
      </c>
      <c r="AP56" s="8" t="s">
        <v>196</v>
      </c>
      <c r="AQ56" s="8" t="s">
        <v>196</v>
      </c>
      <c r="AR5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0.20360194134272902</v>
      </c>
      <c r="AS5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0.30431574311394261</v>
      </c>
      <c r="AT5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5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0.52157871556971291</v>
      </c>
      <c r="AV5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4.0863148622788517E-2</v>
      </c>
      <c r="AW56" s="19">
        <f>IFERROR(Table1[[#This Row],[* Practice Efficiency]]*Table1[[#This Row],[* Load Before Treatment (kg/yr)]],"")</f>
        <v>8.3198163889762061E-3</v>
      </c>
      <c r="AX56" s="100">
        <f>Table1[[#This Row],[Manually entered practice effiency ]]*Table1[[#This Row],[* Load Before Treatment (kg/yr)]]</f>
        <v>0</v>
      </c>
      <c r="AY56" s="43" t="s">
        <v>121</v>
      </c>
      <c r="BA56" s="101">
        <v>1</v>
      </c>
      <c r="BB5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8.3198163889762061E-3</v>
      </c>
      <c r="BC56" s="44"/>
      <c r="BD56" s="44"/>
      <c r="BJ56" s="43"/>
      <c r="BK56" s="45"/>
      <c r="BL56" s="45"/>
      <c r="BM5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5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5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5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5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56" s="19" t="str">
        <f>IFERROR(Table1[[#This Row],[* Prior Practice Efficiency]]*Table1[[#This Row],[* Prior Load Before Treatment (kg/year)]],"")</f>
        <v/>
      </c>
      <c r="BT56" s="19" t="s">
        <v>294</v>
      </c>
    </row>
    <row r="57" spans="1:72">
      <c r="A57" s="43" t="s">
        <v>295</v>
      </c>
      <c r="B57" s="43" t="s">
        <v>272</v>
      </c>
      <c r="C57" s="43" t="s">
        <v>109</v>
      </c>
      <c r="D57" s="43" t="s">
        <v>110</v>
      </c>
      <c r="G57" s="44">
        <v>0.28999999999999998</v>
      </c>
      <c r="H57" s="44">
        <v>0.28999999999999998</v>
      </c>
      <c r="I57" s="44">
        <v>0.26</v>
      </c>
      <c r="J57" s="43" t="s">
        <v>273</v>
      </c>
      <c r="K57" s="66" t="s">
        <v>293</v>
      </c>
      <c r="N57" s="48"/>
      <c r="O57" s="43" t="s">
        <v>113</v>
      </c>
      <c r="Q57" s="43">
        <v>2013</v>
      </c>
      <c r="U57" s="43" t="s">
        <v>134</v>
      </c>
      <c r="V57" s="43" t="str">
        <f>IFERROR(VLOOKUP(Table1[[#This Row],[LC TMDL Drainage Area]],Dropdowns!$P$3:$Q$23,2,FALSE),"")</f>
        <v>Main Lake</v>
      </c>
      <c r="W57" s="43" t="s">
        <v>115</v>
      </c>
      <c r="X57" s="43" t="s">
        <v>124</v>
      </c>
      <c r="Y57" s="43">
        <v>0.19</v>
      </c>
      <c r="Z57" s="43" t="s">
        <v>136</v>
      </c>
      <c r="AA57" s="43" t="s">
        <v>118</v>
      </c>
      <c r="AB57" s="93"/>
      <c r="AC57" s="93"/>
      <c r="AD57" s="93"/>
      <c r="AE57" s="93"/>
      <c r="AF57" s="43">
        <v>7.0000000000000007E-2</v>
      </c>
      <c r="AG57" s="43" t="s">
        <v>119</v>
      </c>
      <c r="AH57" s="4">
        <v>4</v>
      </c>
      <c r="AI57" s="4">
        <v>0.21</v>
      </c>
      <c r="AJ57" s="4">
        <v>4</v>
      </c>
      <c r="AK57" s="4">
        <v>300</v>
      </c>
      <c r="AL57" s="60"/>
      <c r="AM57"/>
      <c r="AN57" s="50">
        <v>304.92</v>
      </c>
      <c r="AP57" s="8" t="s">
        <v>196</v>
      </c>
      <c r="AQ57" s="8" t="s">
        <v>196</v>
      </c>
      <c r="AR5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0.12478828662941456</v>
      </c>
      <c r="AS5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0.42310572661029783</v>
      </c>
      <c r="AT5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5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0.11552863305148905</v>
      </c>
      <c r="AV5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5.4621145322059569E-2</v>
      </c>
      <c r="AW57" s="19">
        <f>IFERROR(Table1[[#This Row],[* Practice Efficiency]]*Table1[[#This Row],[* Load Before Treatment (kg/yr)]],"")</f>
        <v>6.8160791384760762E-3</v>
      </c>
      <c r="AX57" s="100">
        <f>Table1[[#This Row],[Manually entered practice effiency ]]*Table1[[#This Row],[* Load Before Treatment (kg/yr)]]</f>
        <v>0</v>
      </c>
      <c r="AY57" s="43" t="s">
        <v>121</v>
      </c>
      <c r="BA57" s="101">
        <v>1</v>
      </c>
      <c r="BB5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6.8160791384760762E-3</v>
      </c>
      <c r="BC57" s="44"/>
      <c r="BD57" s="44"/>
      <c r="BJ57" s="43"/>
      <c r="BK57" s="45"/>
      <c r="BL57" s="45"/>
      <c r="BM5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5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5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5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5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57" s="19" t="str">
        <f>IFERROR(Table1[[#This Row],[* Prior Practice Efficiency]]*Table1[[#This Row],[* Prior Load Before Treatment (kg/year)]],"")</f>
        <v/>
      </c>
      <c r="BT57" s="19" t="s">
        <v>296</v>
      </c>
    </row>
    <row r="58" spans="1:72">
      <c r="A58" s="43" t="s">
        <v>297</v>
      </c>
      <c r="B58" s="43" t="s">
        <v>272</v>
      </c>
      <c r="C58" s="43" t="s">
        <v>109</v>
      </c>
      <c r="D58" s="43" t="s">
        <v>110</v>
      </c>
      <c r="G58" s="44">
        <v>0.09</v>
      </c>
      <c r="H58" s="44">
        <v>0.42</v>
      </c>
      <c r="I58" s="44">
        <v>6.75</v>
      </c>
      <c r="J58" s="43" t="s">
        <v>273</v>
      </c>
      <c r="K58" s="66" t="s">
        <v>298</v>
      </c>
      <c r="N58" s="48"/>
      <c r="O58" s="43" t="s">
        <v>113</v>
      </c>
      <c r="Q58" s="43">
        <v>2013</v>
      </c>
      <c r="U58" s="43" t="s">
        <v>134</v>
      </c>
      <c r="V58" s="43" t="str">
        <f>IFERROR(VLOOKUP(Table1[[#This Row],[LC TMDL Drainage Area]],Dropdowns!$P$3:$Q$23,2,FALSE),"")</f>
        <v>Main Lake</v>
      </c>
      <c r="W58" s="43" t="s">
        <v>115</v>
      </c>
      <c r="X58" s="43" t="s">
        <v>124</v>
      </c>
      <c r="Y58" s="43">
        <v>0.01</v>
      </c>
      <c r="Z58" s="43" t="s">
        <v>136</v>
      </c>
      <c r="AA58" s="43" t="s">
        <v>118</v>
      </c>
      <c r="AB58" s="93"/>
      <c r="AC58" s="93"/>
      <c r="AD58" s="93"/>
      <c r="AE58" s="93"/>
      <c r="AF58" s="43">
        <v>6.74</v>
      </c>
      <c r="AG58" s="43" t="s">
        <v>299</v>
      </c>
      <c r="AH58" s="5">
        <v>6</v>
      </c>
      <c r="AI58" s="5">
        <v>0.38</v>
      </c>
      <c r="AJ58" s="4">
        <v>4</v>
      </c>
      <c r="AK58" s="4">
        <v>350</v>
      </c>
      <c r="AL58" s="60"/>
      <c r="AM58"/>
      <c r="AN58" s="50">
        <v>1000.1599999999999</v>
      </c>
      <c r="AP58" s="8" t="s">
        <v>166</v>
      </c>
      <c r="AQ58" s="8" t="s">
        <v>166</v>
      </c>
      <c r="AR5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1.2281690154897413</v>
      </c>
      <c r="AS5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0.37297603138050434</v>
      </c>
      <c r="AT5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5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0.86488015690252162</v>
      </c>
      <c r="AV5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5.4595206276100858E-2</v>
      </c>
      <c r="AW58" s="19">
        <f>IFERROR(Table1[[#This Row],[* Practice Efficiency]]*Table1[[#This Row],[* Load Before Treatment (kg/yr)]],"")</f>
        <v>6.7052140742578134E-2</v>
      </c>
      <c r="AX58" s="100">
        <f>Table1[[#This Row],[Manually entered practice effiency ]]*Table1[[#This Row],[* Load Before Treatment (kg/yr)]]</f>
        <v>0</v>
      </c>
      <c r="AY58" s="43" t="s">
        <v>121</v>
      </c>
      <c r="BA58" s="101">
        <v>1</v>
      </c>
      <c r="BB5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6.7052140742578134E-2</v>
      </c>
      <c r="BC58" s="44"/>
      <c r="BD58" s="44"/>
      <c r="BJ58" s="43"/>
      <c r="BK58" s="45"/>
      <c r="BL58" s="45"/>
      <c r="BM5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5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5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5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5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58" s="19" t="str">
        <f>IFERROR(Table1[[#This Row],[* Prior Practice Efficiency]]*Table1[[#This Row],[* Prior Load Before Treatment (kg/year)]],"")</f>
        <v/>
      </c>
      <c r="BT58" s="19" t="s">
        <v>300</v>
      </c>
    </row>
    <row r="59" spans="1:72">
      <c r="A59" s="43" t="s">
        <v>301</v>
      </c>
      <c r="B59" s="43" t="s">
        <v>272</v>
      </c>
      <c r="C59" s="43" t="s">
        <v>109</v>
      </c>
      <c r="D59" s="43" t="s">
        <v>110</v>
      </c>
      <c r="G59" s="44">
        <v>0.48</v>
      </c>
      <c r="H59" s="44">
        <v>0.36</v>
      </c>
      <c r="I59" s="44">
        <v>10.08</v>
      </c>
      <c r="J59" s="43" t="s">
        <v>273</v>
      </c>
      <c r="K59" s="66" t="s">
        <v>302</v>
      </c>
      <c r="N59" s="48"/>
      <c r="O59" s="43" t="s">
        <v>113</v>
      </c>
      <c r="Q59" s="43">
        <v>2013</v>
      </c>
      <c r="U59" s="43" t="s">
        <v>134</v>
      </c>
      <c r="V59" s="43" t="str">
        <f>IFERROR(VLOOKUP(Table1[[#This Row],[LC TMDL Drainage Area]],Dropdowns!$P$3:$Q$23,2,FALSE),"")</f>
        <v>Main Lake</v>
      </c>
      <c r="W59" s="43" t="s">
        <v>115</v>
      </c>
      <c r="X59" s="43" t="s">
        <v>124</v>
      </c>
      <c r="Y59" s="43">
        <v>0.46</v>
      </c>
      <c r="Z59" s="43" t="s">
        <v>146</v>
      </c>
      <c r="AA59" s="43" t="s">
        <v>118</v>
      </c>
      <c r="AB59" s="93"/>
      <c r="AC59" s="93"/>
      <c r="AD59" s="93"/>
      <c r="AE59" s="93"/>
      <c r="AF59" s="43">
        <v>9.6199999999999992</v>
      </c>
      <c r="AG59" s="43" t="s">
        <v>299</v>
      </c>
      <c r="AH59" s="4">
        <v>8</v>
      </c>
      <c r="AI59" s="4">
        <v>0.41</v>
      </c>
      <c r="AJ59" s="4">
        <v>4</v>
      </c>
      <c r="AK59" s="4">
        <v>500</v>
      </c>
      <c r="AL59" s="60"/>
      <c r="AM59"/>
      <c r="AN59" s="50">
        <v>1976.2</v>
      </c>
      <c r="AP59" s="8" t="s">
        <v>166</v>
      </c>
      <c r="AQ59" s="8" t="s">
        <v>166</v>
      </c>
      <c r="AR5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2.2118747630500981</v>
      </c>
      <c r="AS5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0.36686230340221671</v>
      </c>
      <c r="AT5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5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0.83431151701108341</v>
      </c>
      <c r="AV5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5.3372460680443337E-2</v>
      </c>
      <c r="AW59" s="19">
        <f>IFERROR(Table1[[#This Row],[* Practice Efficiency]]*Table1[[#This Row],[* Load Before Treatment (kg/yr)]],"")</f>
        <v>0.11805319882095629</v>
      </c>
      <c r="AX59" s="100">
        <f>Table1[[#This Row],[Manually entered practice effiency ]]*Table1[[#This Row],[* Load Before Treatment (kg/yr)]]</f>
        <v>0</v>
      </c>
      <c r="AY59" s="43" t="s">
        <v>121</v>
      </c>
      <c r="BA59" s="101">
        <v>1</v>
      </c>
      <c r="BB5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0.11805319882095629</v>
      </c>
      <c r="BC59" s="44"/>
      <c r="BD59" s="44"/>
      <c r="BJ59" s="43"/>
      <c r="BK59" s="45"/>
      <c r="BL59" s="45"/>
      <c r="BM5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5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5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5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5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59" s="19" t="str">
        <f>IFERROR(Table1[[#This Row],[* Prior Practice Efficiency]]*Table1[[#This Row],[* Prior Load Before Treatment (kg/year)]],"")</f>
        <v/>
      </c>
      <c r="BT59" s="19" t="s">
        <v>303</v>
      </c>
    </row>
    <row r="60" spans="1:72">
      <c r="A60" s="43" t="s">
        <v>304</v>
      </c>
      <c r="B60" s="43" t="s">
        <v>272</v>
      </c>
      <c r="C60" s="43" t="s">
        <v>109</v>
      </c>
      <c r="D60" s="43" t="s">
        <v>110</v>
      </c>
      <c r="G60" s="44">
        <v>0.48</v>
      </c>
      <c r="H60" s="44">
        <v>0.36</v>
      </c>
      <c r="I60" s="44">
        <v>0.67</v>
      </c>
      <c r="J60" s="43" t="s">
        <v>273</v>
      </c>
      <c r="K60" s="66" t="s">
        <v>302</v>
      </c>
      <c r="N60" s="48"/>
      <c r="O60" s="43" t="s">
        <v>113</v>
      </c>
      <c r="Q60" s="43">
        <v>2013</v>
      </c>
      <c r="U60" s="43" t="s">
        <v>134</v>
      </c>
      <c r="V60" s="43" t="str">
        <f>IFERROR(VLOOKUP(Table1[[#This Row],[LC TMDL Drainage Area]],Dropdowns!$P$3:$Q$23,2,FALSE),"")</f>
        <v>Main Lake</v>
      </c>
      <c r="W60" s="43" t="s">
        <v>115</v>
      </c>
      <c r="X60" s="43" t="s">
        <v>305</v>
      </c>
      <c r="Y60" s="43">
        <v>0.1</v>
      </c>
      <c r="Z60" s="43" t="s">
        <v>146</v>
      </c>
      <c r="AA60" s="43" t="s">
        <v>118</v>
      </c>
      <c r="AF60" s="43">
        <v>0.56999999999999995</v>
      </c>
      <c r="AG60" s="43" t="s">
        <v>119</v>
      </c>
      <c r="AH60" s="5">
        <v>6</v>
      </c>
      <c r="AI60" s="5">
        <v>1</v>
      </c>
      <c r="AJ60" s="4">
        <v>3</v>
      </c>
      <c r="AK60" s="4">
        <v>50</v>
      </c>
      <c r="AL60" s="60"/>
      <c r="AM60"/>
      <c r="AN60" s="59">
        <v>450</v>
      </c>
      <c r="AP60" s="8" t="s">
        <v>166</v>
      </c>
      <c r="AQ60" s="8" t="s">
        <v>166</v>
      </c>
      <c r="AR6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0.10180080808309218</v>
      </c>
      <c r="AS6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0.61927833842818969</v>
      </c>
      <c r="AT60"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6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9.6391692140948532E-2</v>
      </c>
      <c r="AV6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60" s="19" t="str">
        <f>IFERROR(Table1[[#This Row],[* Practice Efficiency]]*Table1[[#This Row],[* Load Before Treatment (kg/yr)]],"")</f>
        <v/>
      </c>
      <c r="AX60" s="100">
        <f>Table1[[#This Row],[* Load Before Treatment (kg/yr)]]*0.4</f>
        <v>4.0720323233236877E-2</v>
      </c>
      <c r="AY60" s="43" t="s">
        <v>121</v>
      </c>
      <c r="BA60" s="101">
        <v>1</v>
      </c>
      <c r="BB6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4.0720323233236877E-2</v>
      </c>
      <c r="BC60" s="44"/>
      <c r="BD60" s="44"/>
      <c r="BJ60" s="43"/>
      <c r="BK60" s="45"/>
      <c r="BL60" s="45"/>
      <c r="BM6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6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6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6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6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60" s="19" t="str">
        <f>IFERROR(Table1[[#This Row],[* Prior Practice Efficiency]]*Table1[[#This Row],[* Prior Load Before Treatment (kg/year)]],"")</f>
        <v/>
      </c>
      <c r="BT60" s="19" t="s">
        <v>306</v>
      </c>
    </row>
    <row r="61" spans="1:72">
      <c r="A61" s="43" t="s">
        <v>307</v>
      </c>
      <c r="B61" s="43" t="s">
        <v>272</v>
      </c>
      <c r="C61" s="43" t="s">
        <v>109</v>
      </c>
      <c r="D61" s="43" t="s">
        <v>110</v>
      </c>
      <c r="G61" s="44">
        <v>0.17</v>
      </c>
      <c r="H61" s="44">
        <v>0.47</v>
      </c>
      <c r="I61" s="44">
        <v>0.52</v>
      </c>
      <c r="J61" s="43" t="s">
        <v>273</v>
      </c>
      <c r="K61" s="66" t="s">
        <v>308</v>
      </c>
      <c r="N61" s="48"/>
      <c r="O61" s="43" t="s">
        <v>113</v>
      </c>
      <c r="Q61" s="43">
        <v>2013</v>
      </c>
      <c r="U61" s="43" t="s">
        <v>134</v>
      </c>
      <c r="V61" s="43" t="str">
        <f>IFERROR(VLOOKUP(Table1[[#This Row],[LC TMDL Drainage Area]],Dropdowns!$P$3:$Q$23,2,FALSE),"")</f>
        <v>Main Lake</v>
      </c>
      <c r="W61" s="43" t="s">
        <v>115</v>
      </c>
      <c r="X61" s="43" t="s">
        <v>124</v>
      </c>
      <c r="Y61" s="43">
        <v>0.24</v>
      </c>
      <c r="Z61" s="43" t="s">
        <v>146</v>
      </c>
      <c r="AA61" s="43" t="s">
        <v>118</v>
      </c>
      <c r="AB61" s="93"/>
      <c r="AC61" s="93"/>
      <c r="AD61" s="93"/>
      <c r="AE61" s="93"/>
      <c r="AF61" s="43">
        <v>0.28000000000000003</v>
      </c>
      <c r="AG61" s="43" t="s">
        <v>119</v>
      </c>
      <c r="AH61" s="4">
        <v>6</v>
      </c>
      <c r="AI61" s="4">
        <v>0.22</v>
      </c>
      <c r="AJ61" s="4">
        <v>4</v>
      </c>
      <c r="AK61" s="4">
        <v>250</v>
      </c>
      <c r="AL61" s="60"/>
      <c r="AM61"/>
      <c r="AN61" s="50">
        <v>378.40000000000003</v>
      </c>
      <c r="AP61" s="8" t="s">
        <v>166</v>
      </c>
      <c r="AQ61" s="8" t="s">
        <v>166</v>
      </c>
      <c r="AR6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0.24432193939942121</v>
      </c>
      <c r="AS6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0.38443888330924281</v>
      </c>
      <c r="AT6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6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0.92219441654621392</v>
      </c>
      <c r="AV6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5.6887776661848549E-2</v>
      </c>
      <c r="AW61" s="19">
        <f>IFERROR(Table1[[#This Row],[* Practice Efficiency]]*Table1[[#This Row],[* Load Before Treatment (kg/yr)]],"")</f>
        <v>1.3898931922143969E-2</v>
      </c>
      <c r="AX61" s="100">
        <f>Table1[[#This Row],[Manually entered practice effiency ]]*Table1[[#This Row],[* Load Before Treatment (kg/yr)]]</f>
        <v>0</v>
      </c>
      <c r="AY61" s="43" t="s">
        <v>121</v>
      </c>
      <c r="BA61" s="101">
        <v>1</v>
      </c>
      <c r="BB6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1.3898931922143969E-2</v>
      </c>
      <c r="BC61" s="44"/>
      <c r="BD61" s="44"/>
      <c r="BJ61" s="43"/>
      <c r="BK61" s="45"/>
      <c r="BL61" s="45"/>
      <c r="BM6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6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6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6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6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61" s="19" t="str">
        <f>IFERROR(Table1[[#This Row],[* Prior Practice Efficiency]]*Table1[[#This Row],[* Prior Load Before Treatment (kg/year)]],"")</f>
        <v/>
      </c>
      <c r="BT61" s="19" t="s">
        <v>309</v>
      </c>
    </row>
    <row r="62" spans="1:72">
      <c r="A62" s="43" t="s">
        <v>310</v>
      </c>
      <c r="B62" s="43" t="s">
        <v>272</v>
      </c>
      <c r="C62" s="43" t="s">
        <v>109</v>
      </c>
      <c r="D62" s="43" t="s">
        <v>110</v>
      </c>
      <c r="G62" s="44">
        <v>0.17</v>
      </c>
      <c r="H62" s="44">
        <v>0.47</v>
      </c>
      <c r="I62" s="44">
        <v>1.83</v>
      </c>
      <c r="J62" s="43" t="s">
        <v>273</v>
      </c>
      <c r="K62" s="66" t="s">
        <v>308</v>
      </c>
      <c r="N62" s="48"/>
      <c r="O62" s="43" t="s">
        <v>113</v>
      </c>
      <c r="Q62" s="43">
        <v>2013</v>
      </c>
      <c r="U62" s="43" t="s">
        <v>134</v>
      </c>
      <c r="V62" s="43" t="str">
        <f>IFERROR(VLOOKUP(Table1[[#This Row],[LC TMDL Drainage Area]],Dropdowns!$P$3:$Q$23,2,FALSE),"")</f>
        <v>Main Lake</v>
      </c>
      <c r="W62" s="43" t="s">
        <v>115</v>
      </c>
      <c r="X62" s="43" t="s">
        <v>124</v>
      </c>
      <c r="Y62" s="43">
        <v>0.32</v>
      </c>
      <c r="Z62" s="43" t="s">
        <v>146</v>
      </c>
      <c r="AA62" s="43" t="s">
        <v>118</v>
      </c>
      <c r="AB62" s="93"/>
      <c r="AC62" s="93"/>
      <c r="AD62" s="93"/>
      <c r="AE62" s="93"/>
      <c r="AF62" s="43">
        <v>1.51</v>
      </c>
      <c r="AG62" s="43" t="s">
        <v>119</v>
      </c>
      <c r="AH62" s="5">
        <v>4</v>
      </c>
      <c r="AI62" s="5">
        <v>0.31</v>
      </c>
      <c r="AJ62" s="4">
        <v>4</v>
      </c>
      <c r="AK62" s="4">
        <v>300</v>
      </c>
      <c r="AL62" s="60"/>
      <c r="AM62"/>
      <c r="AN62" s="50">
        <v>487.32</v>
      </c>
      <c r="AP62" s="8" t="s">
        <v>166</v>
      </c>
      <c r="AQ62" s="8" t="s">
        <v>166</v>
      </c>
      <c r="AR6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0.32576258586589496</v>
      </c>
      <c r="AS6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0.29713243643616077</v>
      </c>
      <c r="AT6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6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0.48566218218080381</v>
      </c>
      <c r="AV6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3.9426487287232151E-2</v>
      </c>
      <c r="AW62" s="19">
        <f>IFERROR(Table1[[#This Row],[* Practice Efficiency]]*Table1[[#This Row],[* Load Before Treatment (kg/yr)]],"")</f>
        <v>1.284367445029758E-2</v>
      </c>
      <c r="AX62" s="100">
        <f>Table1[[#This Row],[Manually entered practice effiency ]]*Table1[[#This Row],[* Load Before Treatment (kg/yr)]]</f>
        <v>0</v>
      </c>
      <c r="AY62" s="43" t="s">
        <v>121</v>
      </c>
      <c r="BA62" s="101">
        <v>1</v>
      </c>
      <c r="BB6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1.284367445029758E-2</v>
      </c>
      <c r="BC62" s="44"/>
      <c r="BD62" s="44"/>
      <c r="BJ62" s="43"/>
      <c r="BK62" s="45"/>
      <c r="BL62" s="45"/>
      <c r="BM6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6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6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6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6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62" s="19" t="str">
        <f>IFERROR(Table1[[#This Row],[* Prior Practice Efficiency]]*Table1[[#This Row],[* Prior Load Before Treatment (kg/year)]],"")</f>
        <v/>
      </c>
      <c r="BT62" s="19" t="s">
        <v>311</v>
      </c>
    </row>
    <row r="63" spans="1:72">
      <c r="A63" s="43" t="s">
        <v>312</v>
      </c>
      <c r="B63" s="43" t="s">
        <v>272</v>
      </c>
      <c r="C63" s="43" t="s">
        <v>109</v>
      </c>
      <c r="D63" s="43" t="s">
        <v>110</v>
      </c>
      <c r="G63" s="44">
        <v>0.19</v>
      </c>
      <c r="H63" s="44">
        <v>0.19</v>
      </c>
      <c r="I63" s="44">
        <v>1.25</v>
      </c>
      <c r="J63" s="43" t="s">
        <v>273</v>
      </c>
      <c r="K63" s="66" t="s">
        <v>313</v>
      </c>
      <c r="N63" s="48"/>
      <c r="O63" s="43" t="s">
        <v>113</v>
      </c>
      <c r="Q63" s="43">
        <v>2013</v>
      </c>
      <c r="U63" s="43" t="s">
        <v>134</v>
      </c>
      <c r="V63" s="43" t="str">
        <f>IFERROR(VLOOKUP(Table1[[#This Row],[LC TMDL Drainage Area]],Dropdowns!$P$3:$Q$23,2,FALSE),"")</f>
        <v>Main Lake</v>
      </c>
      <c r="W63" s="43" t="s">
        <v>115</v>
      </c>
      <c r="X63" s="43" t="s">
        <v>124</v>
      </c>
      <c r="Y63" s="43">
        <v>0.14000000000000001</v>
      </c>
      <c r="Z63" s="43" t="s">
        <v>146</v>
      </c>
      <c r="AA63" s="43" t="s">
        <v>118</v>
      </c>
      <c r="AB63" s="93"/>
      <c r="AC63" s="93"/>
      <c r="AD63" s="93"/>
      <c r="AE63" s="93"/>
      <c r="AF63" s="43">
        <v>1.1100000000000001</v>
      </c>
      <c r="AG63" s="43" t="s">
        <v>119</v>
      </c>
      <c r="AH63" s="4">
        <v>8</v>
      </c>
      <c r="AI63" s="4">
        <v>0.12</v>
      </c>
      <c r="AJ63" s="4">
        <v>4</v>
      </c>
      <c r="AK63" s="4">
        <v>170</v>
      </c>
      <c r="AL63" s="60"/>
      <c r="AM63"/>
      <c r="AN63" s="50">
        <v>172.99200000000002</v>
      </c>
      <c r="AP63" s="8" t="s">
        <v>196</v>
      </c>
      <c r="AQ63" s="8" t="s">
        <v>196</v>
      </c>
      <c r="AR6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0.14252113131632907</v>
      </c>
      <c r="AS6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0.22253063679175045</v>
      </c>
      <c r="AT6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6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0.11265318395875218</v>
      </c>
      <c r="AV6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2.4506127358350088E-2</v>
      </c>
      <c r="AW63" s="19">
        <f>IFERROR(Table1[[#This Row],[* Practice Efficiency]]*Table1[[#This Row],[* Load Before Treatment (kg/yr)]],"")</f>
        <v>3.4926409952940971E-3</v>
      </c>
      <c r="AX63" s="100">
        <f>Table1[[#This Row],[Manually entered practice effiency ]]*Table1[[#This Row],[* Load Before Treatment (kg/yr)]]</f>
        <v>0</v>
      </c>
      <c r="AY63" s="43" t="s">
        <v>121</v>
      </c>
      <c r="BA63" s="101">
        <v>1</v>
      </c>
      <c r="BB6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3.4926409952940971E-3</v>
      </c>
      <c r="BC63" s="44"/>
      <c r="BD63" s="44"/>
      <c r="BJ63" s="43"/>
      <c r="BK63" s="45"/>
      <c r="BL63" s="45"/>
      <c r="BM6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6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6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6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6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63" s="19" t="str">
        <f>IFERROR(Table1[[#This Row],[* Prior Practice Efficiency]]*Table1[[#This Row],[* Prior Load Before Treatment (kg/year)]],"")</f>
        <v/>
      </c>
      <c r="BT63" s="19" t="s">
        <v>314</v>
      </c>
    </row>
    <row r="64" spans="1:72">
      <c r="B64" s="43" t="s">
        <v>272</v>
      </c>
      <c r="C64" s="43" t="s">
        <v>109</v>
      </c>
      <c r="D64" s="43" t="s">
        <v>110</v>
      </c>
      <c r="G64" s="44">
        <v>0.19</v>
      </c>
      <c r="H64" s="44">
        <v>0.19</v>
      </c>
      <c r="I64" s="44">
        <v>2.2400000000000002</v>
      </c>
      <c r="J64" s="43" t="s">
        <v>273</v>
      </c>
      <c r="K64" s="66" t="s">
        <v>313</v>
      </c>
      <c r="N64" s="48"/>
      <c r="O64" s="43" t="s">
        <v>113</v>
      </c>
      <c r="Q64" s="43">
        <v>2013</v>
      </c>
      <c r="U64" s="43" t="s">
        <v>134</v>
      </c>
      <c r="V64" s="43" t="str">
        <f>IFERROR(VLOOKUP(Table1[[#This Row],[LC TMDL Drainage Area]],Dropdowns!$P$3:$Q$23,2,FALSE),"")</f>
        <v>Main Lake</v>
      </c>
      <c r="W64" s="43" t="s">
        <v>115</v>
      </c>
      <c r="X64" s="43" t="s">
        <v>124</v>
      </c>
      <c r="Y64" s="43">
        <v>0.17</v>
      </c>
      <c r="Z64" s="43" t="s">
        <v>146</v>
      </c>
      <c r="AA64" s="43" t="s">
        <v>118</v>
      </c>
      <c r="AB64" s="93"/>
      <c r="AC64" s="93"/>
      <c r="AD64" s="93"/>
      <c r="AE64" s="93"/>
      <c r="AF64" s="43">
        <v>2.0699999999999998</v>
      </c>
      <c r="AG64" s="43" t="s">
        <v>299</v>
      </c>
      <c r="AH64" s="5">
        <v>6</v>
      </c>
      <c r="AI64" s="5">
        <v>0.17</v>
      </c>
      <c r="AJ64" s="4">
        <v>4</v>
      </c>
      <c r="AK64" s="4">
        <v>230</v>
      </c>
      <c r="AL64" s="60"/>
      <c r="AM64"/>
      <c r="AN64" s="50">
        <v>261.18799999999999</v>
      </c>
      <c r="AP64" s="8" t="s">
        <v>196</v>
      </c>
      <c r="AQ64" s="8" t="s">
        <v>196</v>
      </c>
      <c r="AR6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0.5482415676026392</v>
      </c>
      <c r="AS6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0.23015635819102848</v>
      </c>
      <c r="AT6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6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0.15078179095514233</v>
      </c>
      <c r="AV6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2.6031271638205691E-2</v>
      </c>
      <c r="AW64" s="19">
        <f>IFERROR(Table1[[#This Row],[* Practice Efficiency]]*Table1[[#This Row],[* Load Before Treatment (kg/yr)]],"")</f>
        <v>1.427142516962001E-2</v>
      </c>
      <c r="AX64" s="100">
        <f>Table1[[#This Row],[Manually entered practice effiency ]]*Table1[[#This Row],[* Load Before Treatment (kg/yr)]]</f>
        <v>0</v>
      </c>
      <c r="AY64" s="43" t="s">
        <v>121</v>
      </c>
      <c r="BA64" s="101">
        <v>1</v>
      </c>
      <c r="BB6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1.427142516962001E-2</v>
      </c>
      <c r="BC64" s="44"/>
      <c r="BD64" s="44"/>
      <c r="BJ64" s="43"/>
      <c r="BK64" s="45"/>
      <c r="BL64" s="45"/>
      <c r="BM6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6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6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6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6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64" s="19" t="str">
        <f>IFERROR(Table1[[#This Row],[* Prior Practice Efficiency]]*Table1[[#This Row],[* Prior Load Before Treatment (kg/year)]],"")</f>
        <v/>
      </c>
      <c r="BT64" s="19" t="s">
        <v>315</v>
      </c>
    </row>
    <row r="65" spans="1:72">
      <c r="B65" s="43" t="s">
        <v>272</v>
      </c>
      <c r="C65" s="43" t="s">
        <v>109</v>
      </c>
      <c r="D65" s="43" t="s">
        <v>110</v>
      </c>
      <c r="G65" s="44">
        <v>0.09</v>
      </c>
      <c r="H65" s="44">
        <v>0.32</v>
      </c>
      <c r="I65" s="44">
        <v>0.4</v>
      </c>
      <c r="J65" s="43" t="s">
        <v>273</v>
      </c>
      <c r="K65" s="66" t="s">
        <v>316</v>
      </c>
      <c r="N65" s="48"/>
      <c r="O65" s="43" t="s">
        <v>113</v>
      </c>
      <c r="Q65" s="43">
        <v>2013</v>
      </c>
      <c r="U65" s="43" t="s">
        <v>134</v>
      </c>
      <c r="V65" s="43" t="str">
        <f>IFERROR(VLOOKUP(Table1[[#This Row],[LC TMDL Drainage Area]],Dropdowns!$P$3:$Q$23,2,FALSE),"")</f>
        <v>Main Lake</v>
      </c>
      <c r="W65" s="43" t="s">
        <v>115</v>
      </c>
      <c r="X65" s="43" t="s">
        <v>124</v>
      </c>
      <c r="Y65" s="43">
        <v>7.0000000000000007E-2</v>
      </c>
      <c r="Z65" s="43" t="s">
        <v>146</v>
      </c>
      <c r="AA65" s="43" t="s">
        <v>118</v>
      </c>
      <c r="AB65" s="93"/>
      <c r="AC65" s="93"/>
      <c r="AD65" s="93"/>
      <c r="AE65" s="93"/>
      <c r="AF65" s="43">
        <v>0.33</v>
      </c>
      <c r="AG65" s="43" t="s">
        <v>119</v>
      </c>
      <c r="AH65" s="4">
        <v>4</v>
      </c>
      <c r="AI65" s="4">
        <v>0.27</v>
      </c>
      <c r="AJ65" s="4">
        <v>4</v>
      </c>
      <c r="AK65" s="4">
        <v>100</v>
      </c>
      <c r="AL65" s="60"/>
      <c r="AM65"/>
      <c r="AN65" s="50">
        <v>137.16000000000003</v>
      </c>
      <c r="AP65" s="8" t="s">
        <v>196</v>
      </c>
      <c r="AQ65" s="8" t="s">
        <v>196</v>
      </c>
      <c r="AR6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7.1260565658164535E-2</v>
      </c>
      <c r="AS6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0.36119409889460641</v>
      </c>
      <c r="AT6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6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0.80597049447303193</v>
      </c>
      <c r="AV6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5.2238819778921267E-2</v>
      </c>
      <c r="AW65" s="19">
        <f>IFERROR(Table1[[#This Row],[* Practice Efficiency]]*Table1[[#This Row],[* Load Before Treatment (kg/yr)]],"")</f>
        <v>3.7225678467608433E-3</v>
      </c>
      <c r="AX65" s="100">
        <f>Table1[[#This Row],[Manually entered practice effiency ]]*Table1[[#This Row],[* Load Before Treatment (kg/yr)]]</f>
        <v>0</v>
      </c>
      <c r="AY65" s="43" t="s">
        <v>121</v>
      </c>
      <c r="BA65" s="101">
        <v>1</v>
      </c>
      <c r="BB6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3.7225678467608433E-3</v>
      </c>
      <c r="BC65" s="44"/>
      <c r="BD65" s="44"/>
      <c r="BJ65" s="43"/>
      <c r="BK65" s="45"/>
      <c r="BL65" s="45"/>
      <c r="BM6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6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6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6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6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65" s="19" t="str">
        <f>IFERROR(Table1[[#This Row],[* Prior Practice Efficiency]]*Table1[[#This Row],[* Prior Load Before Treatment (kg/year)]],"")</f>
        <v/>
      </c>
      <c r="BT65" s="19" t="s">
        <v>317</v>
      </c>
    </row>
    <row r="66" spans="1:72">
      <c r="A66" s="43" t="s">
        <v>318</v>
      </c>
      <c r="B66" s="43" t="s">
        <v>272</v>
      </c>
      <c r="C66" s="43" t="s">
        <v>109</v>
      </c>
      <c r="D66" s="43" t="s">
        <v>110</v>
      </c>
      <c r="G66" s="44">
        <v>0.09</v>
      </c>
      <c r="H66" s="44">
        <v>0.32</v>
      </c>
      <c r="I66" s="44">
        <v>3.01</v>
      </c>
      <c r="J66" s="43" t="s">
        <v>273</v>
      </c>
      <c r="K66" s="66" t="s">
        <v>316</v>
      </c>
      <c r="N66" s="48"/>
      <c r="O66" s="43" t="s">
        <v>113</v>
      </c>
      <c r="Q66" s="43">
        <v>2013</v>
      </c>
      <c r="U66" s="43" t="s">
        <v>134</v>
      </c>
      <c r="V66" s="43" t="str">
        <f>IFERROR(VLOOKUP(Table1[[#This Row],[LC TMDL Drainage Area]],Dropdowns!$P$3:$Q$23,2,FALSE),"")</f>
        <v>Main Lake</v>
      </c>
      <c r="W66" s="43" t="s">
        <v>115</v>
      </c>
      <c r="X66" s="43" t="s">
        <v>124</v>
      </c>
      <c r="Y66" s="43">
        <v>0.26</v>
      </c>
      <c r="Z66" s="43" t="s">
        <v>146</v>
      </c>
      <c r="AA66" s="43" t="s">
        <v>118</v>
      </c>
      <c r="AB66" s="93"/>
      <c r="AC66" s="93"/>
      <c r="AD66" s="93"/>
      <c r="AE66" s="93"/>
      <c r="AF66" s="43">
        <v>2.75</v>
      </c>
      <c r="AG66" s="43" t="s">
        <v>299</v>
      </c>
      <c r="AH66" s="5">
        <v>4</v>
      </c>
      <c r="AI66" s="5">
        <v>0.36</v>
      </c>
      <c r="AJ66" s="4">
        <v>4</v>
      </c>
      <c r="AK66" s="4">
        <v>350</v>
      </c>
      <c r="AL66" s="60"/>
      <c r="AM66"/>
      <c r="AN66" s="50">
        <v>685.43999999999994</v>
      </c>
      <c r="AP66" s="8" t="s">
        <v>196</v>
      </c>
      <c r="AQ66" s="8" t="s">
        <v>196</v>
      </c>
      <c r="AR6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0.76310989479323865</v>
      </c>
      <c r="AS6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0.34979396382378047</v>
      </c>
      <c r="AT6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6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0.74896981911890226</v>
      </c>
      <c r="AV6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4.9958792764756087E-2</v>
      </c>
      <c r="AW66" s="19">
        <f>IFERROR(Table1[[#This Row],[* Practice Efficiency]]*Table1[[#This Row],[* Load Before Treatment (kg/yr)]],"")</f>
        <v>3.8124049090710231E-2</v>
      </c>
      <c r="AX66" s="100">
        <f>Table1[[#This Row],[Manually entered practice effiency ]]*Table1[[#This Row],[* Load Before Treatment (kg/yr)]]</f>
        <v>0</v>
      </c>
      <c r="AY66" s="43" t="s">
        <v>121</v>
      </c>
      <c r="BA66" s="101">
        <v>1</v>
      </c>
      <c r="BB6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3.8124049090710231E-2</v>
      </c>
      <c r="BC66" s="44"/>
      <c r="BD66" s="44"/>
      <c r="BJ66" s="43"/>
      <c r="BK66" s="45"/>
      <c r="BL66" s="45"/>
      <c r="BM6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6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6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6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6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66" s="19" t="str">
        <f>IFERROR(Table1[[#This Row],[* Prior Practice Efficiency]]*Table1[[#This Row],[* Prior Load Before Treatment (kg/year)]],"")</f>
        <v/>
      </c>
      <c r="BT66" s="19" t="s">
        <v>319</v>
      </c>
    </row>
    <row r="67" spans="1:72">
      <c r="A67" s="43" t="s">
        <v>361</v>
      </c>
      <c r="B67" s="43" t="s">
        <v>362</v>
      </c>
      <c r="C67" s="43" t="s">
        <v>109</v>
      </c>
      <c r="D67" s="43" t="s">
        <v>110</v>
      </c>
      <c r="G67" s="44">
        <v>0.5</v>
      </c>
      <c r="H67" s="44">
        <v>1.89</v>
      </c>
      <c r="I67" s="44">
        <v>6.47</v>
      </c>
      <c r="J67" s="51" t="s">
        <v>363</v>
      </c>
      <c r="K67" s="66" t="s">
        <v>112</v>
      </c>
      <c r="L67" s="51"/>
      <c r="M67" s="51"/>
      <c r="N67" s="48"/>
      <c r="O67" s="43" t="s">
        <v>113</v>
      </c>
      <c r="Q67" s="43">
        <v>2014</v>
      </c>
      <c r="U67" s="43" t="s">
        <v>214</v>
      </c>
      <c r="V67" s="43" t="str">
        <f>IFERROR(VLOOKUP(Table1[[#This Row],[LC TMDL Drainage Area]],Dropdowns!$P$3:$Q$23,2,FALSE),"")</f>
        <v>Malletts Bay</v>
      </c>
      <c r="W67" s="43" t="s">
        <v>115</v>
      </c>
      <c r="X67" s="43" t="s">
        <v>124</v>
      </c>
      <c r="Y67" s="43">
        <v>4.92</v>
      </c>
      <c r="Z67" s="43" t="s">
        <v>146</v>
      </c>
      <c r="AA67" s="43" t="s">
        <v>118</v>
      </c>
      <c r="AF67" s="43">
        <v>1.55</v>
      </c>
      <c r="AG67" s="43" t="s">
        <v>119</v>
      </c>
      <c r="AH67" s="4">
        <v>7.16</v>
      </c>
      <c r="AI67" s="4">
        <v>0.54</v>
      </c>
      <c r="AJ67" s="4">
        <v>4</v>
      </c>
      <c r="AK67" s="4">
        <v>357</v>
      </c>
      <c r="AL67" s="60">
        <v>320</v>
      </c>
      <c r="AM67"/>
      <c r="AN67" s="59">
        <v>1810</v>
      </c>
      <c r="AP67" s="8" t="s">
        <v>120</v>
      </c>
      <c r="AQ67" s="8" t="s">
        <v>155</v>
      </c>
      <c r="AR6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5.0854161828815068</v>
      </c>
      <c r="AS6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0.10029572473918512</v>
      </c>
      <c r="AT6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6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2.9572473918511311E-3</v>
      </c>
      <c r="AV6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8.8717421755533937E-5</v>
      </c>
      <c r="AW67" s="19">
        <f>IFERROR(Table1[[#This Row],[* Practice Efficiency]]*Table1[[#This Row],[* Load Before Treatment (kg/yr)]],"")</f>
        <v>4.5116501229911616E-4</v>
      </c>
      <c r="AX67" s="100">
        <f>Table1[[#This Row],[Manually entered practice effiency ]]*Table1[[#This Row],[* Load Before Treatment (kg/yr)]]</f>
        <v>0</v>
      </c>
      <c r="AY67" s="43" t="s">
        <v>121</v>
      </c>
      <c r="BA67" s="101">
        <v>1</v>
      </c>
      <c r="BB67" s="201">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4.5116501229911616E-4</v>
      </c>
      <c r="BC67" s="44"/>
      <c r="BD67" s="44"/>
      <c r="BJ67" s="43"/>
      <c r="BK67" s="45"/>
      <c r="BL67" s="45"/>
      <c r="BM6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6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6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6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6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67" s="19" t="str">
        <f>IFERROR(Table1[[#This Row],[* Prior Practice Efficiency]]*Table1[[#This Row],[* Prior Load Before Treatment (kg/year)]],"")</f>
        <v/>
      </c>
      <c r="BT67" s="19"/>
    </row>
    <row r="68" spans="1:72">
      <c r="A68" s="43" t="s">
        <v>395</v>
      </c>
      <c r="B68" s="43" t="s">
        <v>396</v>
      </c>
      <c r="C68" s="43" t="s">
        <v>109</v>
      </c>
      <c r="D68" s="43" t="s">
        <v>110</v>
      </c>
      <c r="G68" s="44">
        <v>0.44</v>
      </c>
      <c r="H68" s="44">
        <v>1.32</v>
      </c>
      <c r="I68" s="44">
        <v>2.39</v>
      </c>
      <c r="J68" s="51" t="s">
        <v>397</v>
      </c>
      <c r="K68" s="66" t="s">
        <v>112</v>
      </c>
      <c r="L68" s="51"/>
      <c r="M68" s="51"/>
      <c r="N68" s="48"/>
      <c r="O68" s="43" t="s">
        <v>113</v>
      </c>
      <c r="Q68" s="43">
        <v>2018</v>
      </c>
      <c r="U68" s="43" t="s">
        <v>398</v>
      </c>
      <c r="V68" s="43" t="str">
        <f>IFERROR(VLOOKUP(Table1[[#This Row],[LC TMDL Drainage Area]],Dropdowns!$P$3:$Q$23,2,FALSE),"")</f>
        <v>Otter Creek</v>
      </c>
      <c r="W68" s="43" t="s">
        <v>115</v>
      </c>
      <c r="X68" s="43" t="s">
        <v>124</v>
      </c>
      <c r="Y68" s="43">
        <v>0.98</v>
      </c>
      <c r="Z68" s="43" t="s">
        <v>146</v>
      </c>
      <c r="AA68" s="43" t="s">
        <v>118</v>
      </c>
      <c r="AB68" s="93"/>
      <c r="AC68" s="93"/>
      <c r="AD68" s="93"/>
      <c r="AE68" s="93"/>
      <c r="AF68" s="43">
        <v>1.41</v>
      </c>
      <c r="AG68" s="43" t="s">
        <v>299</v>
      </c>
      <c r="AH68" s="5">
        <v>3</v>
      </c>
      <c r="AI68" s="5">
        <v>0.32</v>
      </c>
      <c r="AJ68" s="4">
        <v>3</v>
      </c>
      <c r="AK68" s="4">
        <v>500</v>
      </c>
      <c r="AL68" s="60">
        <v>473</v>
      </c>
      <c r="AM68"/>
      <c r="AN68" s="50">
        <v>633.6</v>
      </c>
      <c r="AP68" s="8"/>
      <c r="AQ68" s="8"/>
      <c r="AR6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1.7403116554556008</v>
      </c>
      <c r="AS6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0.16587641687666402</v>
      </c>
      <c r="AT6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6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0.65876416876664012</v>
      </c>
      <c r="AV6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1.9762925062999204E-2</v>
      </c>
      <c r="AW68" s="19">
        <f>IFERROR(Table1[[#This Row],[* Practice Efficiency]]*Table1[[#This Row],[* Load Before Treatment (kg/yr)]],"")</f>
        <v>3.4393648833033127E-2</v>
      </c>
      <c r="AX68" s="100">
        <f>Table1[[#This Row],[Manually entered practice effiency ]]*Table1[[#This Row],[* Load Before Treatment (kg/yr)]]</f>
        <v>0</v>
      </c>
      <c r="AY68" s="43" t="s">
        <v>121</v>
      </c>
      <c r="BA68" s="101">
        <f>0.95/0.98</f>
        <v>0.96938775510204078</v>
      </c>
      <c r="BB6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3.4393648833033127E-2</v>
      </c>
      <c r="BC68" s="44"/>
      <c r="BD68" s="44"/>
      <c r="BJ68" s="43"/>
      <c r="BK68" s="45"/>
      <c r="BL68" s="45"/>
      <c r="BM6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6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6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6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6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68" s="19" t="str">
        <f>IFERROR(Table1[[#This Row],[* Prior Practice Efficiency]]*Table1[[#This Row],[* Prior Load Before Treatment (kg/year)]],"")</f>
        <v/>
      </c>
      <c r="BT68" s="19" t="s">
        <v>399</v>
      </c>
    </row>
    <row r="69" spans="1:72">
      <c r="A69" s="43" t="s">
        <v>400</v>
      </c>
      <c r="B69" s="43" t="s">
        <v>396</v>
      </c>
      <c r="C69" s="43" t="s">
        <v>109</v>
      </c>
      <c r="D69" s="43" t="s">
        <v>110</v>
      </c>
      <c r="G69" s="44">
        <v>0.56999999999999995</v>
      </c>
      <c r="H69" s="44">
        <v>2.02</v>
      </c>
      <c r="I69" s="44">
        <v>5.52</v>
      </c>
      <c r="J69" s="43" t="s">
        <v>397</v>
      </c>
      <c r="K69" s="66" t="s">
        <v>401</v>
      </c>
      <c r="N69" s="48"/>
      <c r="O69" s="43" t="s">
        <v>113</v>
      </c>
      <c r="Q69" s="43">
        <v>2018</v>
      </c>
      <c r="U69" s="43" t="s">
        <v>398</v>
      </c>
      <c r="V69" s="43" t="str">
        <f>IFERROR(VLOOKUP(Table1[[#This Row],[LC TMDL Drainage Area]],Dropdowns!$P$3:$Q$23,2,FALSE),"")</f>
        <v>Otter Creek</v>
      </c>
      <c r="W69" s="43" t="s">
        <v>115</v>
      </c>
      <c r="X69" s="43" t="s">
        <v>124</v>
      </c>
      <c r="Y69" s="43">
        <v>1.23</v>
      </c>
      <c r="Z69" s="43" t="s">
        <v>146</v>
      </c>
      <c r="AA69" s="43" t="s">
        <v>118</v>
      </c>
      <c r="AB69" s="93"/>
      <c r="AC69" s="93"/>
      <c r="AD69" s="93"/>
      <c r="AE69" s="93"/>
      <c r="AF69" s="43">
        <v>4.29</v>
      </c>
      <c r="AG69" s="43" t="s">
        <v>119</v>
      </c>
      <c r="AH69" s="4">
        <v>3</v>
      </c>
      <c r="AI69" s="4">
        <v>0.36</v>
      </c>
      <c r="AJ69" s="4">
        <v>3</v>
      </c>
      <c r="AK69" s="4">
        <v>590</v>
      </c>
      <c r="AL69" s="60">
        <v>520</v>
      </c>
      <c r="AM69"/>
      <c r="AN69" s="50">
        <v>866.59199999999998</v>
      </c>
      <c r="AP69" s="8"/>
      <c r="AQ69" s="8"/>
      <c r="AR6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1.477803344348835</v>
      </c>
      <c r="AS6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0.16480149238032205</v>
      </c>
      <c r="AT6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6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0.64801492380322034</v>
      </c>
      <c r="AV6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1.9440447714096611E-2</v>
      </c>
      <c r="AW69" s="19">
        <f>IFERROR(Table1[[#This Row],[* Practice Efficiency]]*Table1[[#This Row],[* Load Before Treatment (kg/yr)]],"")</f>
        <v>2.8729158647530638E-2</v>
      </c>
      <c r="AX69" s="100">
        <f>Table1[[#This Row],[Manually entered practice effiency ]]*Table1[[#This Row],[* Load Before Treatment (kg/yr)]]</f>
        <v>0</v>
      </c>
      <c r="AY69" s="43" t="s">
        <v>121</v>
      </c>
      <c r="BA69" s="101">
        <f>0.66/1.23</f>
        <v>0.53658536585365857</v>
      </c>
      <c r="BB6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2.8729158647530638E-2</v>
      </c>
      <c r="BC69" s="44"/>
      <c r="BD69" s="44"/>
      <c r="BJ69" s="43"/>
      <c r="BK69" s="45"/>
      <c r="BL69" s="45"/>
      <c r="BM6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6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6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6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6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69" s="19" t="str">
        <f>IFERROR(Table1[[#This Row],[* Prior Practice Efficiency]]*Table1[[#This Row],[* Prior Load Before Treatment (kg/year)]],"")</f>
        <v/>
      </c>
      <c r="BT69" s="19" t="s">
        <v>402</v>
      </c>
    </row>
    <row r="70" spans="1:72">
      <c r="A70" s="43" t="s">
        <v>403</v>
      </c>
      <c r="B70" s="43" t="s">
        <v>396</v>
      </c>
      <c r="C70" s="43" t="s">
        <v>109</v>
      </c>
      <c r="D70" s="43" t="s">
        <v>110</v>
      </c>
      <c r="G70" s="44">
        <v>0.56999999999999995</v>
      </c>
      <c r="H70" s="44">
        <v>2.02</v>
      </c>
      <c r="I70" s="44">
        <v>0.48</v>
      </c>
      <c r="J70" s="43" t="s">
        <v>397</v>
      </c>
      <c r="K70" s="66" t="s">
        <v>404</v>
      </c>
      <c r="N70" s="48"/>
      <c r="O70" s="43" t="s">
        <v>113</v>
      </c>
      <c r="Q70" s="43">
        <v>2018</v>
      </c>
      <c r="R70" s="49"/>
      <c r="U70" s="43" t="s">
        <v>398</v>
      </c>
      <c r="V70" s="43" t="str">
        <f>IFERROR(VLOOKUP(Table1[[#This Row],[LC TMDL Drainage Area]],Dropdowns!$P$3:$Q$23,2,FALSE),"")</f>
        <v>Otter Creek</v>
      </c>
      <c r="W70" s="43" t="s">
        <v>115</v>
      </c>
      <c r="X70" s="43" t="s">
        <v>124</v>
      </c>
      <c r="Y70" s="43">
        <v>0.22</v>
      </c>
      <c r="Z70" s="43" t="s">
        <v>136</v>
      </c>
      <c r="AA70" s="43" t="s">
        <v>118</v>
      </c>
      <c r="AB70" s="93"/>
      <c r="AC70" s="93"/>
      <c r="AD70" s="93"/>
      <c r="AE70" s="93"/>
      <c r="AF70" s="43">
        <v>0.26</v>
      </c>
      <c r="AG70" s="43" t="s">
        <v>119</v>
      </c>
      <c r="AH70" s="5">
        <v>3</v>
      </c>
      <c r="AI70" s="5">
        <v>0.28999999999999998</v>
      </c>
      <c r="AJ70" s="4">
        <v>3</v>
      </c>
      <c r="AK70" s="4">
        <v>200</v>
      </c>
      <c r="AL70" s="60">
        <v>160</v>
      </c>
      <c r="AM70"/>
      <c r="AN70" s="50">
        <v>224.45999999999998</v>
      </c>
      <c r="AP70" s="8"/>
      <c r="AQ70" s="8"/>
      <c r="AR7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0.17666224281533327</v>
      </c>
      <c r="AS7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0.25776752897342753</v>
      </c>
      <c r="AT7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7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0.28883764486713759</v>
      </c>
      <c r="AV7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3.15535057946855E-2</v>
      </c>
      <c r="AW70" s="19">
        <f>IFERROR(Table1[[#This Row],[* Practice Efficiency]]*Table1[[#This Row],[* Load Before Treatment (kg/yr)]],"")</f>
        <v>5.5743131023757555E-3</v>
      </c>
      <c r="AX70" s="100">
        <f>Table1[[#This Row],[Manually entered practice effiency ]]*Table1[[#This Row],[* Load Before Treatment (kg/yr)]]</f>
        <v>0</v>
      </c>
      <c r="AY70" s="43" t="s">
        <v>121</v>
      </c>
      <c r="BA70" s="101">
        <v>1</v>
      </c>
      <c r="BB7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5.5743131023757555E-3</v>
      </c>
      <c r="BC70" s="44"/>
      <c r="BD70" s="44"/>
      <c r="BJ70" s="43"/>
      <c r="BK70" s="45"/>
      <c r="BL70" s="45"/>
      <c r="BM7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7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7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7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7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70" s="19" t="str">
        <f>IFERROR(Table1[[#This Row],[* Prior Practice Efficiency]]*Table1[[#This Row],[* Prior Load Before Treatment (kg/year)]],"")</f>
        <v/>
      </c>
      <c r="BT70" s="19" t="s">
        <v>405</v>
      </c>
    </row>
    <row r="71" spans="1:72">
      <c r="A71" s="43" t="s">
        <v>406</v>
      </c>
      <c r="B71" s="43" t="s">
        <v>396</v>
      </c>
      <c r="C71" s="43" t="s">
        <v>109</v>
      </c>
      <c r="D71" s="43" t="s">
        <v>110</v>
      </c>
      <c r="G71" s="44">
        <v>0.56999999999999995</v>
      </c>
      <c r="H71" s="44">
        <v>2.02</v>
      </c>
      <c r="I71" s="44">
        <v>1.08</v>
      </c>
      <c r="J71" s="43" t="s">
        <v>397</v>
      </c>
      <c r="K71" s="66" t="s">
        <v>404</v>
      </c>
      <c r="N71" s="48"/>
      <c r="O71" s="43" t="s">
        <v>113</v>
      </c>
      <c r="Q71" s="43">
        <v>2018</v>
      </c>
      <c r="U71" s="43" t="s">
        <v>398</v>
      </c>
      <c r="V71" s="43" t="str">
        <f>IFERROR(VLOOKUP(Table1[[#This Row],[LC TMDL Drainage Area]],Dropdowns!$P$3:$Q$23,2,FALSE),"")</f>
        <v>Otter Creek</v>
      </c>
      <c r="W71" s="43" t="s">
        <v>115</v>
      </c>
      <c r="X71" s="43" t="s">
        <v>124</v>
      </c>
      <c r="Y71" s="43">
        <v>0.27</v>
      </c>
      <c r="Z71" s="43" t="s">
        <v>136</v>
      </c>
      <c r="AA71" s="43" t="s">
        <v>118</v>
      </c>
      <c r="AB71" s="93"/>
      <c r="AC71" s="93"/>
      <c r="AD71" s="93"/>
      <c r="AE71" s="93"/>
      <c r="AF71" s="43">
        <v>0.81</v>
      </c>
      <c r="AG71" s="43" t="s">
        <v>119</v>
      </c>
      <c r="AH71" s="4">
        <v>3</v>
      </c>
      <c r="AI71" s="4">
        <v>0.21</v>
      </c>
      <c r="AJ71" s="4">
        <v>3</v>
      </c>
      <c r="AK71" s="4">
        <v>195</v>
      </c>
      <c r="AL71" s="60">
        <v>185</v>
      </c>
      <c r="AM71"/>
      <c r="AN71" s="50">
        <v>148.64849999999998</v>
      </c>
      <c r="AP71" s="8"/>
      <c r="AQ71" s="8"/>
      <c r="AR7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0.21681275254609084</v>
      </c>
      <c r="AS7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0.13447091150691107</v>
      </c>
      <c r="AT7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7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0.34470911506911062</v>
      </c>
      <c r="AV7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1.034127345207332E-2</v>
      </c>
      <c r="AW71" s="19">
        <f>IFERROR(Table1[[#This Row],[* Practice Efficiency]]*Table1[[#This Row],[* Load Before Treatment (kg/yr)]],"")</f>
        <v>2.2421199619758313E-3</v>
      </c>
      <c r="AX71" s="100">
        <f>Table1[[#This Row],[Manually entered practice effiency ]]*Table1[[#This Row],[* Load Before Treatment (kg/yr)]]</f>
        <v>0</v>
      </c>
      <c r="AY71" s="43" t="s">
        <v>121</v>
      </c>
      <c r="BA71" s="101">
        <f>0.25/0.27</f>
        <v>0.92592592592592582</v>
      </c>
      <c r="BB7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2.2421199619758313E-3</v>
      </c>
      <c r="BC71" s="44"/>
      <c r="BD71" s="44"/>
      <c r="BJ71" s="43"/>
      <c r="BK71" s="45"/>
      <c r="BL71" s="45"/>
      <c r="BM7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7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7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7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7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71" s="19" t="str">
        <f>IFERROR(Table1[[#This Row],[* Prior Practice Efficiency]]*Table1[[#This Row],[* Prior Load Before Treatment (kg/year)]],"")</f>
        <v/>
      </c>
      <c r="BT71" s="19" t="s">
        <v>407</v>
      </c>
    </row>
    <row r="72" spans="1:72">
      <c r="A72" s="43" t="s">
        <v>408</v>
      </c>
      <c r="B72" s="43" t="s">
        <v>396</v>
      </c>
      <c r="C72" s="43" t="s">
        <v>109</v>
      </c>
      <c r="D72" s="43" t="s">
        <v>110</v>
      </c>
      <c r="G72" s="44">
        <v>2.34</v>
      </c>
      <c r="H72" s="44">
        <v>7.97</v>
      </c>
      <c r="I72" s="44">
        <v>1.0900000000000001</v>
      </c>
      <c r="J72" s="43" t="s">
        <v>397</v>
      </c>
      <c r="K72" s="66" t="s">
        <v>409</v>
      </c>
      <c r="N72" s="48"/>
      <c r="O72" s="43" t="s">
        <v>113</v>
      </c>
      <c r="Q72" s="43">
        <v>2018</v>
      </c>
      <c r="U72" s="43" t="s">
        <v>398</v>
      </c>
      <c r="V72" s="43" t="str">
        <f>IFERROR(VLOOKUP(Table1[[#This Row],[LC TMDL Drainage Area]],Dropdowns!$P$3:$Q$23,2,FALSE),"")</f>
        <v>Otter Creek</v>
      </c>
      <c r="W72" s="43" t="s">
        <v>115</v>
      </c>
      <c r="X72" s="43" t="s">
        <v>124</v>
      </c>
      <c r="Y72" s="43">
        <v>0.43</v>
      </c>
      <c r="Z72" s="43" t="s">
        <v>241</v>
      </c>
      <c r="AA72" s="43" t="s">
        <v>118</v>
      </c>
      <c r="AB72" s="93"/>
      <c r="AC72" s="93"/>
      <c r="AD72" s="93"/>
      <c r="AE72" s="93"/>
      <c r="AF72" s="43">
        <v>0.66</v>
      </c>
      <c r="AG72" s="43" t="s">
        <v>119</v>
      </c>
      <c r="AH72" s="5">
        <v>3</v>
      </c>
      <c r="AI72" s="5">
        <v>0.37</v>
      </c>
      <c r="AJ72" s="4">
        <v>3</v>
      </c>
      <c r="AK72" s="4">
        <v>200</v>
      </c>
      <c r="AL72" s="60">
        <v>192</v>
      </c>
      <c r="AM72"/>
      <c r="AN72" s="50">
        <v>304.13999999999993</v>
      </c>
      <c r="AP72" s="8"/>
      <c r="AQ72" s="8"/>
      <c r="AR7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0.24936182913660271</v>
      </c>
      <c r="AS7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0.17967114279688914</v>
      </c>
      <c r="AT7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7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0.79671142796889138</v>
      </c>
      <c r="AV7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2.3901342839066742E-2</v>
      </c>
      <c r="AW72" s="19">
        <f>IFERROR(Table1[[#This Row],[* Practice Efficiency]]*Table1[[#This Row],[* Load Before Treatment (kg/yr)]],"")</f>
        <v>5.9600825691707238E-3</v>
      </c>
      <c r="AX72" s="100">
        <f>Table1[[#This Row],[Manually entered practice effiency ]]*Table1[[#This Row],[* Load Before Treatment (kg/yr)]]</f>
        <v>0</v>
      </c>
      <c r="AY72" s="43" t="s">
        <v>121</v>
      </c>
      <c r="BA72" s="101">
        <v>1</v>
      </c>
      <c r="BB7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5.9600825691707238E-3</v>
      </c>
      <c r="BC72" s="44"/>
      <c r="BD72" s="44"/>
      <c r="BJ72" s="43"/>
      <c r="BK72" s="45"/>
      <c r="BL72" s="45"/>
      <c r="BM7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7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7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7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7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72" s="19" t="str">
        <f>IFERROR(Table1[[#This Row],[* Prior Practice Efficiency]]*Table1[[#This Row],[* Prior Load Before Treatment (kg/year)]],"")</f>
        <v/>
      </c>
      <c r="BT72" s="19" t="s">
        <v>410</v>
      </c>
    </row>
    <row r="73" spans="1:72">
      <c r="A73" s="43" t="s">
        <v>411</v>
      </c>
      <c r="B73" s="43" t="s">
        <v>396</v>
      </c>
      <c r="C73" s="43" t="s">
        <v>109</v>
      </c>
      <c r="D73" s="43" t="s">
        <v>110</v>
      </c>
      <c r="G73" s="44">
        <v>2.34</v>
      </c>
      <c r="H73" s="44">
        <v>7.97</v>
      </c>
      <c r="I73" s="44">
        <v>15.28</v>
      </c>
      <c r="J73" s="43" t="s">
        <v>397</v>
      </c>
      <c r="K73" s="66" t="s">
        <v>412</v>
      </c>
      <c r="N73" s="48"/>
      <c r="O73" s="43" t="s">
        <v>113</v>
      </c>
      <c r="Q73" s="43">
        <v>2018</v>
      </c>
      <c r="U73" s="43" t="s">
        <v>398</v>
      </c>
      <c r="V73" s="43" t="str">
        <f>IFERROR(VLOOKUP(Table1[[#This Row],[LC TMDL Drainage Area]],Dropdowns!$P$3:$Q$23,2,FALSE),"")</f>
        <v>Otter Creek</v>
      </c>
      <c r="W73" s="43" t="s">
        <v>115</v>
      </c>
      <c r="X73" s="43" t="s">
        <v>124</v>
      </c>
      <c r="Y73" s="43">
        <v>0.35</v>
      </c>
      <c r="Z73" s="43" t="s">
        <v>146</v>
      </c>
      <c r="AA73" s="43" t="s">
        <v>118</v>
      </c>
      <c r="AB73" s="93"/>
      <c r="AC73" s="93"/>
      <c r="AD73" s="93"/>
      <c r="AE73" s="93"/>
      <c r="AF73" s="43">
        <v>19.72</v>
      </c>
      <c r="AG73" s="43" t="s">
        <v>119</v>
      </c>
      <c r="AH73" s="4">
        <v>4</v>
      </c>
      <c r="AI73" s="4">
        <v>0.39</v>
      </c>
      <c r="AJ73" s="4">
        <v>3</v>
      </c>
      <c r="AK73" s="4">
        <v>420</v>
      </c>
      <c r="AL73" s="60">
        <v>420</v>
      </c>
      <c r="AM73"/>
      <c r="AN73" s="50">
        <v>846.84600000000012</v>
      </c>
      <c r="AP73" s="8"/>
      <c r="AQ73" s="8"/>
      <c r="AR7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0.4205131467659286</v>
      </c>
      <c r="AS7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0.16921083266686002</v>
      </c>
      <c r="AT7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7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0.69210832666860012</v>
      </c>
      <c r="AV7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2.0763249800058003E-2</v>
      </c>
      <c r="AW73" s="19">
        <f>IFERROR(Table1[[#This Row],[* Practice Efficiency]]*Table1[[#This Row],[* Load Before Treatment (kg/yr)]],"")</f>
        <v>8.7312195105094283E-3</v>
      </c>
      <c r="AX73" s="100">
        <f>Table1[[#This Row],[Manually entered practice effiency ]]*Table1[[#This Row],[* Load Before Treatment (kg/yr)]]</f>
        <v>0</v>
      </c>
      <c r="AY73" s="43" t="s">
        <v>121</v>
      </c>
      <c r="BA73" s="101">
        <v>1</v>
      </c>
      <c r="BB7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8.7312195105094283E-3</v>
      </c>
      <c r="BC73" s="44"/>
      <c r="BD73" s="44"/>
      <c r="BJ73" s="43"/>
      <c r="BK73" s="45"/>
      <c r="BL73" s="45"/>
      <c r="BM7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7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7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7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7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73" s="19" t="str">
        <f>IFERROR(Table1[[#This Row],[* Prior Practice Efficiency]]*Table1[[#This Row],[* Prior Load Before Treatment (kg/year)]],"")</f>
        <v/>
      </c>
      <c r="BT73" s="19" t="s">
        <v>413</v>
      </c>
    </row>
    <row r="74" spans="1:72">
      <c r="A74" s="43" t="s">
        <v>414</v>
      </c>
      <c r="B74" s="43" t="s">
        <v>396</v>
      </c>
      <c r="C74" s="43" t="s">
        <v>109</v>
      </c>
      <c r="D74" s="43" t="s">
        <v>110</v>
      </c>
      <c r="G74" s="44">
        <v>2.34</v>
      </c>
      <c r="H74" s="44">
        <v>7.97</v>
      </c>
      <c r="I74" s="44">
        <v>0.67</v>
      </c>
      <c r="J74" s="43" t="s">
        <v>397</v>
      </c>
      <c r="K74" s="66" t="s">
        <v>412</v>
      </c>
      <c r="N74" s="48"/>
      <c r="O74" s="43" t="s">
        <v>113</v>
      </c>
      <c r="Q74" s="43">
        <v>2018</v>
      </c>
      <c r="U74" s="43" t="s">
        <v>398</v>
      </c>
      <c r="V74" s="43" t="str">
        <f>IFERROR(VLOOKUP(Table1[[#This Row],[LC TMDL Drainage Area]],Dropdowns!$P$3:$Q$23,2,FALSE),"")</f>
        <v>Otter Creek</v>
      </c>
      <c r="W74" s="43" t="s">
        <v>115</v>
      </c>
      <c r="X74" s="43" t="s">
        <v>124</v>
      </c>
      <c r="Y74" s="43">
        <v>0.35</v>
      </c>
      <c r="Z74" s="43" t="s">
        <v>146</v>
      </c>
      <c r="AA74" s="43" t="s">
        <v>118</v>
      </c>
      <c r="AB74" s="93"/>
      <c r="AC74" s="93"/>
      <c r="AD74" s="93"/>
      <c r="AE74" s="93"/>
      <c r="AF74" s="43">
        <v>0.32</v>
      </c>
      <c r="AG74" s="43" t="s">
        <v>119</v>
      </c>
      <c r="AH74" s="5">
        <v>3</v>
      </c>
      <c r="AI74" s="5">
        <v>0.24</v>
      </c>
      <c r="AJ74" s="4">
        <v>3</v>
      </c>
      <c r="AK74" s="4">
        <v>712</v>
      </c>
      <c r="AL74" s="60">
        <v>323</v>
      </c>
      <c r="AM74"/>
      <c r="AN74" s="50">
        <v>635.67359999999996</v>
      </c>
      <c r="AP74" s="8"/>
      <c r="AQ74" s="8"/>
      <c r="AR7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0.4205131467659286</v>
      </c>
      <c r="AS7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0.44768243824734583</v>
      </c>
      <c r="AT7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7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0.23841219123672908</v>
      </c>
      <c r="AV7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5.9536487649469172E-2</v>
      </c>
      <c r="AW74" s="19">
        <f>IFERROR(Table1[[#This Row],[* Practice Efficiency]]*Table1[[#This Row],[* Load Before Treatment (kg/yr)]],"")</f>
        <v>2.5035875768869127E-2</v>
      </c>
      <c r="AX74" s="100">
        <f>Table1[[#This Row],[Manually entered practice effiency ]]*Table1[[#This Row],[* Load Before Treatment (kg/yr)]]</f>
        <v>0</v>
      </c>
      <c r="AY74" s="43" t="s">
        <v>121</v>
      </c>
      <c r="BA74" s="101">
        <v>1</v>
      </c>
      <c r="BB7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2.5035875768869127E-2</v>
      </c>
      <c r="BC74" s="44"/>
      <c r="BD74" s="44"/>
      <c r="BJ74" s="43"/>
      <c r="BK74" s="45"/>
      <c r="BL74" s="45"/>
      <c r="BM7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7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7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7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7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74" s="19" t="str">
        <f>IFERROR(Table1[[#This Row],[* Prior Practice Efficiency]]*Table1[[#This Row],[* Prior Load Before Treatment (kg/year)]],"")</f>
        <v/>
      </c>
      <c r="BT74" s="19" t="s">
        <v>415</v>
      </c>
    </row>
    <row r="75" spans="1:72">
      <c r="A75" s="43" t="s">
        <v>416</v>
      </c>
      <c r="B75" s="43" t="s">
        <v>396</v>
      </c>
      <c r="C75" s="43" t="s">
        <v>109</v>
      </c>
      <c r="D75" s="43" t="s">
        <v>110</v>
      </c>
      <c r="G75" s="44">
        <v>2.34</v>
      </c>
      <c r="H75" s="44">
        <v>7.97</v>
      </c>
      <c r="I75" s="44">
        <v>1.19</v>
      </c>
      <c r="J75" s="43" t="s">
        <v>397</v>
      </c>
      <c r="K75" s="66" t="s">
        <v>412</v>
      </c>
      <c r="N75" s="48"/>
      <c r="O75" s="43" t="s">
        <v>113</v>
      </c>
      <c r="Q75" s="43">
        <v>2018</v>
      </c>
      <c r="U75" s="43" t="s">
        <v>398</v>
      </c>
      <c r="V75" s="43" t="str">
        <f>IFERROR(VLOOKUP(Table1[[#This Row],[LC TMDL Drainage Area]],Dropdowns!$P$3:$Q$23,2,FALSE),"")</f>
        <v>Otter Creek</v>
      </c>
      <c r="W75" s="43" t="s">
        <v>115</v>
      </c>
      <c r="X75" s="43" t="s">
        <v>124</v>
      </c>
      <c r="Y75" s="43">
        <v>0.67</v>
      </c>
      <c r="Z75" s="43" t="s">
        <v>146</v>
      </c>
      <c r="AA75" s="43" t="s">
        <v>118</v>
      </c>
      <c r="AB75" s="93"/>
      <c r="AC75" s="93"/>
      <c r="AD75" s="93"/>
      <c r="AE75" s="93"/>
      <c r="AF75" s="43">
        <v>0.52</v>
      </c>
      <c r="AG75" s="43" t="s">
        <v>119</v>
      </c>
      <c r="AH75" s="4">
        <v>2</v>
      </c>
      <c r="AI75" s="4">
        <v>0.37</v>
      </c>
      <c r="AJ75" s="4">
        <v>3</v>
      </c>
      <c r="AK75" s="4">
        <v>620</v>
      </c>
      <c r="AL75" s="60">
        <v>519</v>
      </c>
      <c r="AM75"/>
      <c r="AN75" s="50">
        <v>713.43399999999986</v>
      </c>
      <c r="AP75" s="8"/>
      <c r="AQ75" s="8"/>
      <c r="AR7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0.80498230952334915</v>
      </c>
      <c r="AS7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0.27589744825470752</v>
      </c>
      <c r="AT7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7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0.37948724127353756</v>
      </c>
      <c r="AV7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3.5179489650941503E-2</v>
      </c>
      <c r="AW75" s="19">
        <f>IFERROR(Table1[[#This Row],[* Practice Efficiency]]*Table1[[#This Row],[* Load Before Treatment (kg/yr)]],"")</f>
        <v>2.8318866827067652E-2</v>
      </c>
      <c r="AX75" s="100">
        <f>Table1[[#This Row],[Manually entered practice effiency ]]*Table1[[#This Row],[* Load Before Treatment (kg/yr)]]</f>
        <v>0</v>
      </c>
      <c r="AY75" s="43" t="s">
        <v>121</v>
      </c>
      <c r="BA75" s="101">
        <f>0.35/0.67</f>
        <v>0.52238805970149249</v>
      </c>
      <c r="BB7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2.8318866827067652E-2</v>
      </c>
      <c r="BC75" s="44"/>
      <c r="BD75" s="44"/>
      <c r="BJ75" s="43"/>
      <c r="BK75" s="45"/>
      <c r="BL75" s="45"/>
      <c r="BM7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7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7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7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7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75" s="19" t="str">
        <f>IFERROR(Table1[[#This Row],[* Prior Practice Efficiency]]*Table1[[#This Row],[* Prior Load Before Treatment (kg/year)]],"")</f>
        <v/>
      </c>
      <c r="BT75" s="19" t="s">
        <v>417</v>
      </c>
    </row>
    <row r="76" spans="1:72">
      <c r="A76" s="43" t="s">
        <v>418</v>
      </c>
      <c r="B76" s="43" t="s">
        <v>396</v>
      </c>
      <c r="C76" s="43" t="s">
        <v>109</v>
      </c>
      <c r="D76" s="43" t="s">
        <v>110</v>
      </c>
      <c r="G76" s="44">
        <v>2.34</v>
      </c>
      <c r="H76" s="44">
        <v>7.97</v>
      </c>
      <c r="I76" s="44">
        <v>8.52</v>
      </c>
      <c r="J76" s="43" t="s">
        <v>397</v>
      </c>
      <c r="K76" s="68" t="s">
        <v>412</v>
      </c>
      <c r="N76" s="48"/>
      <c r="O76" s="43" t="s">
        <v>113</v>
      </c>
      <c r="Q76" s="43">
        <v>2018</v>
      </c>
      <c r="U76" s="43" t="s">
        <v>398</v>
      </c>
      <c r="V76" s="43" t="str">
        <f>IFERROR(VLOOKUP(Table1[[#This Row],[LC TMDL Drainage Area]],Dropdowns!$P$3:$Q$23,2,FALSE),"")</f>
        <v>Otter Creek</v>
      </c>
      <c r="W76" s="43" t="s">
        <v>115</v>
      </c>
      <c r="X76" s="43" t="s">
        <v>124</v>
      </c>
      <c r="Y76" s="43">
        <v>1.64</v>
      </c>
      <c r="Z76" s="43" t="s">
        <v>146</v>
      </c>
      <c r="AA76" s="43" t="s">
        <v>118</v>
      </c>
      <c r="AB76" s="93"/>
      <c r="AC76" s="93"/>
      <c r="AD76" s="93"/>
      <c r="AE76" s="93"/>
      <c r="AF76" s="43">
        <v>6.88</v>
      </c>
      <c r="AG76" s="43" t="s">
        <v>119</v>
      </c>
      <c r="AH76" s="5">
        <v>3.5</v>
      </c>
      <c r="AI76" s="61">
        <v>0.34</v>
      </c>
      <c r="AJ76" s="4">
        <v>3</v>
      </c>
      <c r="AK76" s="62">
        <v>600</v>
      </c>
      <c r="AL76" s="63">
        <v>506</v>
      </c>
      <c r="AM76"/>
      <c r="AN76" s="50">
        <v>922.07999999999993</v>
      </c>
      <c r="AP76" s="64"/>
      <c r="AQ76" s="64"/>
      <c r="AR7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1.9704044591317798</v>
      </c>
      <c r="AS7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0.13174363169324152</v>
      </c>
      <c r="AT7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7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0.31743631693241514</v>
      </c>
      <c r="AV7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9.5230895079724542E-3</v>
      </c>
      <c r="AW76" s="19">
        <f>IFERROR(Table1[[#This Row],[* Practice Efficiency]]*Table1[[#This Row],[* Load Before Treatment (kg/yr)]],"")</f>
        <v>1.876433803121999E-2</v>
      </c>
      <c r="AX76" s="100">
        <f>Table1[[#This Row],[Manually entered practice effiency ]]*Table1[[#This Row],[* Load Before Treatment (kg/yr)]]</f>
        <v>0</v>
      </c>
      <c r="AY76" s="43" t="s">
        <v>121</v>
      </c>
      <c r="BA76" s="101">
        <f>1.45/1.64</f>
        <v>0.88414634146341464</v>
      </c>
      <c r="BB7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1.876433803121999E-2</v>
      </c>
      <c r="BC76" s="44"/>
      <c r="BD76" s="44"/>
      <c r="BJ76" s="43"/>
      <c r="BK76" s="45"/>
      <c r="BL76" s="45"/>
      <c r="BM7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7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7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7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7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76" s="19" t="str">
        <f>IFERROR(Table1[[#This Row],[* Prior Practice Efficiency]]*Table1[[#This Row],[* Prior Load Before Treatment (kg/year)]],"")</f>
        <v/>
      </c>
      <c r="BT76" s="19" t="s">
        <v>419</v>
      </c>
    </row>
    <row r="77" spans="1:72">
      <c r="A77" s="43" t="s">
        <v>420</v>
      </c>
      <c r="B77" s="43" t="s">
        <v>396</v>
      </c>
      <c r="C77" s="43" t="s">
        <v>109</v>
      </c>
      <c r="D77" s="43" t="s">
        <v>110</v>
      </c>
      <c r="G77" s="44">
        <v>2.34</v>
      </c>
      <c r="H77" s="44">
        <v>7.97</v>
      </c>
      <c r="I77" s="44">
        <v>6.94</v>
      </c>
      <c r="J77" s="43" t="s">
        <v>397</v>
      </c>
      <c r="K77" s="68" t="s">
        <v>421</v>
      </c>
      <c r="N77" s="48"/>
      <c r="O77" s="43" t="s">
        <v>113</v>
      </c>
      <c r="Q77" s="43">
        <v>2018</v>
      </c>
      <c r="U77" s="43" t="s">
        <v>398</v>
      </c>
      <c r="V77" s="43" t="str">
        <f>IFERROR(VLOOKUP(Table1[[#This Row],[LC TMDL Drainage Area]],Dropdowns!$P$3:$Q$23,2,FALSE),"")</f>
        <v>Otter Creek</v>
      </c>
      <c r="W77" s="43" t="s">
        <v>115</v>
      </c>
      <c r="X77" s="43" t="s">
        <v>124</v>
      </c>
      <c r="Y77" s="43">
        <v>1.44</v>
      </c>
      <c r="Z77" s="43" t="s">
        <v>241</v>
      </c>
      <c r="AA77" s="43" t="s">
        <v>118</v>
      </c>
      <c r="AB77" s="93"/>
      <c r="AC77" s="93"/>
      <c r="AD77" s="93"/>
      <c r="AE77" s="93"/>
      <c r="AF77" s="43">
        <v>5.5</v>
      </c>
      <c r="AG77" s="43" t="s">
        <v>299</v>
      </c>
      <c r="AH77" s="4">
        <v>3</v>
      </c>
      <c r="AI77" s="62">
        <v>0.39</v>
      </c>
      <c r="AJ77" s="4">
        <v>3</v>
      </c>
      <c r="AK77" s="62">
        <v>450</v>
      </c>
      <c r="AL77" s="63">
        <v>403</v>
      </c>
      <c r="AM77"/>
      <c r="AN77" s="50">
        <v>731.83500000000004</v>
      </c>
      <c r="AP77" s="64"/>
      <c r="AQ77" s="64"/>
      <c r="AR7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3.0306832676026296</v>
      </c>
      <c r="AS7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0.12179529430681704</v>
      </c>
      <c r="AT7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7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0.21795294306817037</v>
      </c>
      <c r="AV7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6.5385882920451117E-3</v>
      </c>
      <c r="AW77" s="19">
        <f>IFERROR(Table1[[#This Row],[* Practice Efficiency]]*Table1[[#This Row],[* Load Before Treatment (kg/yr)]],"")</f>
        <v>1.9816390130443576E-2</v>
      </c>
      <c r="AX77" s="100">
        <f>Table1[[#This Row],[Manually entered practice effiency ]]*Table1[[#This Row],[* Load Before Treatment (kg/yr)]]</f>
        <v>0</v>
      </c>
      <c r="AY77" s="43" t="s">
        <v>121</v>
      </c>
      <c r="BA77" s="101">
        <f>0.89/1.44</f>
        <v>0.61805555555555558</v>
      </c>
      <c r="BB7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1.9816390130443576E-2</v>
      </c>
      <c r="BC77" s="44"/>
      <c r="BD77" s="44"/>
      <c r="BJ77" s="43"/>
      <c r="BK77" s="45"/>
      <c r="BL77" s="45"/>
      <c r="BM7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7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7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7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7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77" s="19" t="str">
        <f>IFERROR(Table1[[#This Row],[* Prior Practice Efficiency]]*Table1[[#This Row],[* Prior Load Before Treatment (kg/year)]],"")</f>
        <v/>
      </c>
      <c r="BT77" s="19" t="s">
        <v>422</v>
      </c>
    </row>
    <row r="78" spans="1:72">
      <c r="B78" s="43" t="s">
        <v>423</v>
      </c>
      <c r="C78" s="43" t="s">
        <v>109</v>
      </c>
      <c r="D78" s="43" t="s">
        <v>110</v>
      </c>
      <c r="G78" s="44">
        <v>2.6</v>
      </c>
      <c r="H78" s="44">
        <v>0</v>
      </c>
      <c r="I78" s="44">
        <v>47.8</v>
      </c>
      <c r="J78" s="43" t="s">
        <v>424</v>
      </c>
      <c r="K78" s="68" t="s">
        <v>112</v>
      </c>
      <c r="N78" s="48"/>
      <c r="O78" s="43" t="s">
        <v>113</v>
      </c>
      <c r="Q78" s="43">
        <v>2018</v>
      </c>
      <c r="U78" s="43" t="s">
        <v>177</v>
      </c>
      <c r="V78" s="43" t="str">
        <f>IFERROR(VLOOKUP(Table1[[#This Row],[LC TMDL Drainage Area]],Dropdowns!$P$3:$Q$23,2,FALSE),"")</f>
        <v>Otter Creek</v>
      </c>
      <c r="W78" s="43" t="s">
        <v>115</v>
      </c>
      <c r="X78" s="43" t="s">
        <v>141</v>
      </c>
      <c r="Y78" s="43">
        <v>2.6</v>
      </c>
      <c r="Z78" s="43" t="s">
        <v>117</v>
      </c>
      <c r="AA78" s="43" t="s">
        <v>118</v>
      </c>
      <c r="AB78" s="93"/>
      <c r="AC78" s="93"/>
      <c r="AD78" s="93"/>
      <c r="AE78" s="93"/>
      <c r="AF78" s="43">
        <v>45.2</v>
      </c>
      <c r="AG78" s="43" t="s">
        <v>119</v>
      </c>
      <c r="AH78" s="4"/>
      <c r="AI78" s="62"/>
      <c r="AJ78" s="4"/>
      <c r="AK78" s="62"/>
      <c r="AL78" s="63"/>
      <c r="AM78">
        <v>0.49</v>
      </c>
      <c r="AN78" s="59">
        <v>0</v>
      </c>
      <c r="AP78" s="64" t="s">
        <v>166</v>
      </c>
      <c r="AQ78" s="64" t="s">
        <v>166</v>
      </c>
      <c r="AR7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2.1269746237718397</v>
      </c>
      <c r="AS7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78"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7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7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78" s="19" t="str">
        <f>IFERROR(Table1[[#This Row],[* Practice Efficiency]]*Table1[[#This Row],[* Load Before Treatment (kg/yr)]],"")</f>
        <v/>
      </c>
      <c r="AX78" s="100">
        <f>Table1[[#This Row],[Manually entered practice effiency ]]*Table1[[#This Row],[* Load Before Treatment (kg/yr)]]</f>
        <v>1.0422175656482013</v>
      </c>
      <c r="AY78" s="43" t="s">
        <v>121</v>
      </c>
      <c r="BA78" s="101">
        <v>1</v>
      </c>
      <c r="BB7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1.0422175656482013</v>
      </c>
      <c r="BC78" s="44"/>
      <c r="BD78" s="44"/>
      <c r="BJ78" s="43"/>
      <c r="BK78" s="45"/>
      <c r="BL78" s="45"/>
      <c r="BM7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7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7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7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7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78" s="19" t="str">
        <f>IFERROR(Table1[[#This Row],[* Prior Practice Efficiency]]*Table1[[#This Row],[* Prior Load Before Treatment (kg/year)]],"")</f>
        <v/>
      </c>
      <c r="BT78" s="19" t="s">
        <v>425</v>
      </c>
    </row>
    <row r="79" spans="1:72">
      <c r="A79" s="43" t="s">
        <v>426</v>
      </c>
      <c r="B79" s="43" t="s">
        <v>423</v>
      </c>
      <c r="C79" s="43" t="s">
        <v>109</v>
      </c>
      <c r="D79" s="43" t="s">
        <v>110</v>
      </c>
      <c r="G79" s="44">
        <v>0.27</v>
      </c>
      <c r="H79" s="44">
        <v>0</v>
      </c>
      <c r="I79" s="44">
        <v>1</v>
      </c>
      <c r="J79" s="43" t="s">
        <v>424</v>
      </c>
      <c r="K79" s="68" t="s">
        <v>260</v>
      </c>
      <c r="N79" s="48"/>
      <c r="O79" s="43" t="s">
        <v>113</v>
      </c>
      <c r="Q79" s="43">
        <v>2018</v>
      </c>
      <c r="U79" s="43" t="s">
        <v>177</v>
      </c>
      <c r="V79" s="43" t="str">
        <f>IFERROR(VLOOKUP(Table1[[#This Row],[LC TMDL Drainage Area]],Dropdowns!$P$3:$Q$23,2,FALSE),"")</f>
        <v>Otter Creek</v>
      </c>
      <c r="W79" s="43" t="s">
        <v>115</v>
      </c>
      <c r="X79" s="43" t="s">
        <v>141</v>
      </c>
      <c r="Y79" s="43">
        <v>0.27</v>
      </c>
      <c r="Z79" s="43" t="s">
        <v>117</v>
      </c>
      <c r="AA79" s="43" t="s">
        <v>118</v>
      </c>
      <c r="AB79" s="93"/>
      <c r="AC79" s="93"/>
      <c r="AD79" s="93"/>
      <c r="AE79" s="93"/>
      <c r="AF79" s="43">
        <v>0.73</v>
      </c>
      <c r="AG79" s="43" t="s">
        <v>119</v>
      </c>
      <c r="AH79" s="4"/>
      <c r="AI79" s="62"/>
      <c r="AJ79" s="4"/>
      <c r="AK79" s="62"/>
      <c r="AL79" s="63"/>
      <c r="AM79">
        <v>0.74</v>
      </c>
      <c r="AN79" s="59">
        <v>0</v>
      </c>
      <c r="AP79" s="64" t="s">
        <v>120</v>
      </c>
      <c r="AQ79" s="64" t="s">
        <v>120</v>
      </c>
      <c r="AR7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0.22087813400707565</v>
      </c>
      <c r="AS7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79"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7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7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79" s="19" t="str">
        <f>IFERROR(Table1[[#This Row],[* Practice Efficiency]]*Table1[[#This Row],[* Load Before Treatment (kg/yr)]],"")</f>
        <v/>
      </c>
      <c r="AX79" s="100">
        <f>Table1[[#This Row],[Manually entered practice effiency ]]*Table1[[#This Row],[* Load Before Treatment (kg/yr)]]</f>
        <v>0.16344981916523599</v>
      </c>
      <c r="AY79" s="43" t="s">
        <v>121</v>
      </c>
      <c r="BA79" s="101">
        <v>1</v>
      </c>
      <c r="BB7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0.16344981916523599</v>
      </c>
      <c r="BC79" s="44"/>
      <c r="BD79" s="44"/>
      <c r="BJ79" s="43"/>
      <c r="BK79" s="45"/>
      <c r="BL79" s="45"/>
      <c r="BM7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7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7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7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7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79" s="19" t="str">
        <f>IFERROR(Table1[[#This Row],[* Prior Practice Efficiency]]*Table1[[#This Row],[* Prior Load Before Treatment (kg/year)]],"")</f>
        <v/>
      </c>
      <c r="BT79" s="19"/>
    </row>
    <row r="80" spans="1:72">
      <c r="A80" s="43" t="s">
        <v>588</v>
      </c>
      <c r="B80" s="43" t="s">
        <v>423</v>
      </c>
      <c r="C80" s="43" t="s">
        <v>109</v>
      </c>
      <c r="D80" s="43" t="s">
        <v>110</v>
      </c>
      <c r="G80" s="44">
        <v>2.6</v>
      </c>
      <c r="H80" s="44">
        <v>0</v>
      </c>
      <c r="I80" s="44">
        <v>21.36</v>
      </c>
      <c r="J80" s="43" t="s">
        <v>424</v>
      </c>
      <c r="K80" s="66" t="s">
        <v>112</v>
      </c>
      <c r="N80" s="48"/>
      <c r="O80" s="65" t="s">
        <v>589</v>
      </c>
      <c r="Q80" s="65" t="s">
        <v>590</v>
      </c>
      <c r="U80" s="43" t="s">
        <v>177</v>
      </c>
      <c r="V80" s="43" t="str">
        <f>IFERROR(VLOOKUP(Table1[[#This Row],[LC TMDL Drainage Area]],Dropdowns!$P$3:$Q$23,2,FALSE),"")</f>
        <v>Otter Creek</v>
      </c>
      <c r="W80" s="43" t="s">
        <v>115</v>
      </c>
      <c r="X80" s="43" t="s">
        <v>581</v>
      </c>
      <c r="Y80" s="43">
        <v>5.08</v>
      </c>
      <c r="Z80" s="43" t="s">
        <v>117</v>
      </c>
      <c r="AA80" s="43" t="s">
        <v>118</v>
      </c>
      <c r="AB80" s="93"/>
      <c r="AC80" s="93"/>
      <c r="AD80" s="93"/>
      <c r="AE80" s="93"/>
      <c r="AF80" s="43">
        <v>16.28</v>
      </c>
      <c r="AG80" s="43" t="s">
        <v>119</v>
      </c>
      <c r="AH80" s="4"/>
      <c r="AI80" s="4"/>
      <c r="AJ80" s="4"/>
      <c r="AK80" s="4"/>
      <c r="AL80" s="60"/>
      <c r="AM80"/>
      <c r="AN80" s="50">
        <v>31426</v>
      </c>
      <c r="AP80" s="8" t="s">
        <v>343</v>
      </c>
      <c r="AQ80" s="8" t="s">
        <v>343</v>
      </c>
      <c r="AR8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4.1557811879849789</v>
      </c>
      <c r="AS8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0.92852202079540591</v>
      </c>
      <c r="AT8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9.999999999999995E-3</v>
      </c>
      <c r="AU8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0.64261010397702945</v>
      </c>
      <c r="AV8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9.6426101039770284E-2</v>
      </c>
      <c r="AW80" s="19">
        <f>IFERROR(Table1[[#This Row],[* Practice Efficiency]]*Table1[[#This Row],[* Load Before Treatment (kg/yr)]],"")</f>
        <v>0.40072577673181614</v>
      </c>
      <c r="AX80" s="100">
        <f>Table1[[#This Row],[Manually entered practice effiency ]]*Table1[[#This Row],[* Load Before Treatment (kg/yr)]]</f>
        <v>0</v>
      </c>
      <c r="AY80" s="43" t="s">
        <v>121</v>
      </c>
      <c r="BA80" s="101">
        <v>1</v>
      </c>
      <c r="BB8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0.40072577673181614</v>
      </c>
      <c r="BC80" s="44"/>
      <c r="BD80" s="44"/>
      <c r="BJ80" s="43"/>
      <c r="BK80" s="45"/>
      <c r="BL80" s="45"/>
      <c r="BM8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8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8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8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8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80" s="19" t="str">
        <f>IFERROR(Table1[[#This Row],[* Prior Practice Efficiency]]*Table1[[#This Row],[* Prior Load Before Treatment (kg/year)]],"")</f>
        <v/>
      </c>
      <c r="BT80" s="19" t="s">
        <v>591</v>
      </c>
    </row>
    <row r="81" spans="1:72">
      <c r="A81" s="43" t="s">
        <v>107</v>
      </c>
      <c r="B81" s="43" t="s">
        <v>108</v>
      </c>
      <c r="C81" s="43" t="s">
        <v>109</v>
      </c>
      <c r="D81" s="43" t="s">
        <v>110</v>
      </c>
      <c r="G81" s="44">
        <v>0</v>
      </c>
      <c r="H81" s="44">
        <v>3.03</v>
      </c>
      <c r="I81" s="44">
        <v>1.8</v>
      </c>
      <c r="J81" s="43" t="s">
        <v>111</v>
      </c>
      <c r="K81" s="66" t="s">
        <v>112</v>
      </c>
      <c r="N81" s="48"/>
      <c r="O81" s="43" t="s">
        <v>113</v>
      </c>
      <c r="Q81" s="43">
        <v>2008</v>
      </c>
      <c r="U81" s="43" t="s">
        <v>114</v>
      </c>
      <c r="V81" s="43" t="str">
        <f>IFERROR(VLOOKUP(Table1[[#This Row],[LC TMDL Drainage Area]],Dropdowns!$P$3:$Q$23,2,FALSE),"")</f>
        <v>Malletts Bay</v>
      </c>
      <c r="W81" s="43" t="s">
        <v>115</v>
      </c>
      <c r="X81" s="43" t="s">
        <v>116</v>
      </c>
      <c r="Y81" s="43">
        <v>1.74</v>
      </c>
      <c r="Z81" s="43" t="s">
        <v>117</v>
      </c>
      <c r="AA81" s="43" t="s">
        <v>118</v>
      </c>
      <c r="AB81" s="93"/>
      <c r="AC81" s="93"/>
      <c r="AD81" s="93"/>
      <c r="AE81" s="93"/>
      <c r="AF81" s="43">
        <v>0.06</v>
      </c>
      <c r="AG81" s="43" t="s">
        <v>119</v>
      </c>
      <c r="AH81" s="4"/>
      <c r="AI81" s="4"/>
      <c r="AJ81" s="4"/>
      <c r="AK81" s="4"/>
      <c r="AL81" s="60"/>
      <c r="AM81"/>
      <c r="AN81" s="59">
        <v>131210.5</v>
      </c>
      <c r="AP81" s="8" t="s">
        <v>120</v>
      </c>
      <c r="AQ81" s="8" t="s">
        <v>120</v>
      </c>
      <c r="AR8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1.1773535222545901</v>
      </c>
      <c r="AS8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2</v>
      </c>
      <c r="AT81"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8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8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0.57999999999999996</v>
      </c>
      <c r="AW81" s="19">
        <f>IFERROR(Table1[[#This Row],[* Practice Efficiency]]*Table1[[#This Row],[* Load Before Treatment (kg/yr)]],"")</f>
        <v>0.68286504290766226</v>
      </c>
      <c r="AX81" s="100">
        <f>Table1[[#This Row],[Manually entered practice effiency ]]*Table1[[#This Row],[* Load Before Treatment (kg/yr)]]</f>
        <v>0</v>
      </c>
      <c r="AY81" s="43" t="s">
        <v>121</v>
      </c>
      <c r="BA81" s="101">
        <v>1</v>
      </c>
      <c r="BB8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0.68286504290766226</v>
      </c>
      <c r="BC81" s="44"/>
      <c r="BD81" s="44"/>
      <c r="BJ81" s="43"/>
      <c r="BK81" s="45"/>
      <c r="BL81" s="45"/>
      <c r="BM8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8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8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8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8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81" s="19" t="str">
        <f>IFERROR(Table1[[#This Row],[* Prior Practice Efficiency]]*Table1[[#This Row],[* Prior Load Before Treatment (kg/year)]],"")</f>
        <v/>
      </c>
      <c r="BT81" s="19" t="s">
        <v>122</v>
      </c>
    </row>
    <row r="82" spans="1:72">
      <c r="A82" s="43" t="s">
        <v>123</v>
      </c>
      <c r="B82" s="43" t="s">
        <v>108</v>
      </c>
      <c r="C82" s="43" t="s">
        <v>109</v>
      </c>
      <c r="D82" s="43" t="s">
        <v>110</v>
      </c>
      <c r="G82" s="44">
        <v>0</v>
      </c>
      <c r="H82" s="44">
        <v>3.03</v>
      </c>
      <c r="I82" s="44">
        <v>0.47</v>
      </c>
      <c r="J82" s="43" t="s">
        <v>111</v>
      </c>
      <c r="K82" s="66" t="s">
        <v>112</v>
      </c>
      <c r="N82" s="48"/>
      <c r="O82" s="43" t="s">
        <v>113</v>
      </c>
      <c r="Q82" s="43">
        <v>2010</v>
      </c>
      <c r="U82" s="43" t="s">
        <v>114</v>
      </c>
      <c r="V82" s="43" t="str">
        <f>IFERROR(VLOOKUP(Table1[[#This Row],[LC TMDL Drainage Area]],Dropdowns!$P$3:$Q$23,2,FALSE),"")</f>
        <v>Malletts Bay</v>
      </c>
      <c r="W82" s="43" t="s">
        <v>115</v>
      </c>
      <c r="X82" s="43" t="s">
        <v>124</v>
      </c>
      <c r="Y82" s="43">
        <v>0.3</v>
      </c>
      <c r="Z82" s="43" t="s">
        <v>117</v>
      </c>
      <c r="AA82" s="43" t="s">
        <v>118</v>
      </c>
      <c r="AB82" s="93"/>
      <c r="AC82" s="93"/>
      <c r="AD82" s="93"/>
      <c r="AE82" s="93"/>
      <c r="AF82" s="43">
        <v>0.17</v>
      </c>
      <c r="AG82" s="43" t="s">
        <v>119</v>
      </c>
      <c r="AH82" s="5">
        <v>2</v>
      </c>
      <c r="AI82" s="5">
        <v>0.31</v>
      </c>
      <c r="AJ82" s="4">
        <v>4</v>
      </c>
      <c r="AK82" s="4">
        <v>240</v>
      </c>
      <c r="AL82" s="60"/>
      <c r="AM82"/>
      <c r="AN82" s="50">
        <v>241.05599999999998</v>
      </c>
      <c r="AP82" s="8" t="s">
        <v>120</v>
      </c>
      <c r="AQ82" s="8" t="s">
        <v>120</v>
      </c>
      <c r="AR8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0.20299198659561896</v>
      </c>
      <c r="AS8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0.21356811813127463</v>
      </c>
      <c r="AT8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8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6.7840590656373101E-2</v>
      </c>
      <c r="AV8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2.2713623626254925E-2</v>
      </c>
      <c r="AW82" s="19">
        <f>IFERROR(Table1[[#This Row],[* Practice Efficiency]]*Table1[[#This Row],[* Load Before Treatment (kg/yr)]],"")</f>
        <v>4.6106835826786735E-3</v>
      </c>
      <c r="AX82" s="100">
        <f>Table1[[#This Row],[Manually entered practice effiency ]]*Table1[[#This Row],[* Load Before Treatment (kg/yr)]]</f>
        <v>0</v>
      </c>
      <c r="AY82" s="43" t="s">
        <v>121</v>
      </c>
      <c r="BA82" s="101">
        <v>1</v>
      </c>
      <c r="BB8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4.6106835826786735E-3</v>
      </c>
      <c r="BC82" s="44"/>
      <c r="BD82" s="44"/>
      <c r="BJ82" s="43"/>
      <c r="BK82" s="45"/>
      <c r="BL82" s="45"/>
      <c r="BM8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8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8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8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8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82" s="19" t="str">
        <f>IFERROR(Table1[[#This Row],[* Prior Practice Efficiency]]*Table1[[#This Row],[* Prior Load Before Treatment (kg/year)]],"")</f>
        <v/>
      </c>
      <c r="BT82" s="19" t="s">
        <v>125</v>
      </c>
    </row>
    <row r="83" spans="1:72">
      <c r="A83" s="43" t="s">
        <v>126</v>
      </c>
      <c r="B83" s="43" t="s">
        <v>108</v>
      </c>
      <c r="C83" s="43" t="s">
        <v>109</v>
      </c>
      <c r="D83" s="43" t="s">
        <v>110</v>
      </c>
      <c r="G83" s="44">
        <v>0</v>
      </c>
      <c r="H83" s="44">
        <v>3.03</v>
      </c>
      <c r="I83" s="44">
        <v>0.5</v>
      </c>
      <c r="J83" s="43" t="s">
        <v>111</v>
      </c>
      <c r="K83" s="66" t="s">
        <v>112</v>
      </c>
      <c r="N83" s="48"/>
      <c r="O83" s="43" t="s">
        <v>113</v>
      </c>
      <c r="Q83" s="43">
        <v>2010</v>
      </c>
      <c r="U83" s="43" t="s">
        <v>114</v>
      </c>
      <c r="V83" s="43" t="str">
        <f>IFERROR(VLOOKUP(Table1[[#This Row],[LC TMDL Drainage Area]],Dropdowns!$P$3:$Q$23,2,FALSE),"")</f>
        <v>Malletts Bay</v>
      </c>
      <c r="W83" s="43" t="s">
        <v>115</v>
      </c>
      <c r="X83" s="43" t="s">
        <v>124</v>
      </c>
      <c r="Y83" s="43">
        <v>0.28000000000000003</v>
      </c>
      <c r="Z83" s="43" t="s">
        <v>117</v>
      </c>
      <c r="AA83" s="43" t="s">
        <v>118</v>
      </c>
      <c r="AB83" s="93"/>
      <c r="AC83" s="93"/>
      <c r="AD83" s="93"/>
      <c r="AE83" s="93"/>
      <c r="AF83" s="43">
        <v>0.22</v>
      </c>
      <c r="AG83" s="43" t="s">
        <v>119</v>
      </c>
      <c r="AH83" s="4">
        <v>2</v>
      </c>
      <c r="AI83" s="4">
        <v>0.28000000000000003</v>
      </c>
      <c r="AJ83" s="4">
        <v>3</v>
      </c>
      <c r="AK83" s="4">
        <v>340</v>
      </c>
      <c r="AL83" s="60"/>
      <c r="AM83"/>
      <c r="AN83" s="50">
        <v>270.36799999999999</v>
      </c>
      <c r="AP83" s="8" t="s">
        <v>120</v>
      </c>
      <c r="AQ83" s="8" t="s">
        <v>120</v>
      </c>
      <c r="AR8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0.1894591874892444</v>
      </c>
      <c r="AS8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0.25125922079310908</v>
      </c>
      <c r="AT8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8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0.25629610396554536</v>
      </c>
      <c r="AV8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3.0251844158621814E-2</v>
      </c>
      <c r="AW83" s="19">
        <f>IFERROR(Table1[[#This Row],[* Practice Efficiency]]*Table1[[#This Row],[* Load Before Treatment (kg/yr)]],"")</f>
        <v>5.7314898143437333E-3</v>
      </c>
      <c r="AX83" s="100">
        <f>Table1[[#This Row],[Manually entered practice effiency ]]*Table1[[#This Row],[* Load Before Treatment (kg/yr)]]</f>
        <v>0</v>
      </c>
      <c r="AY83" s="43" t="s">
        <v>121</v>
      </c>
      <c r="BA83" s="101">
        <v>1</v>
      </c>
      <c r="BB8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5.7314898143437333E-3</v>
      </c>
      <c r="BC83" s="44"/>
      <c r="BD83" s="44"/>
      <c r="BJ83" s="43"/>
      <c r="BK83" s="45"/>
      <c r="BL83" s="45"/>
      <c r="BM8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8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8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8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8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83" s="19" t="str">
        <f>IFERROR(Table1[[#This Row],[* Prior Practice Efficiency]]*Table1[[#This Row],[* Prior Load Before Treatment (kg/year)]],"")</f>
        <v/>
      </c>
      <c r="BT83" s="19" t="s">
        <v>127</v>
      </c>
    </row>
    <row r="84" spans="1:72">
      <c r="A84" s="43" t="s">
        <v>128</v>
      </c>
      <c r="B84" s="43" t="s">
        <v>108</v>
      </c>
      <c r="C84" s="43" t="s">
        <v>109</v>
      </c>
      <c r="D84" s="43" t="s">
        <v>110</v>
      </c>
      <c r="G84" s="44">
        <v>0.16</v>
      </c>
      <c r="H84" s="44">
        <v>0</v>
      </c>
      <c r="I84" s="44">
        <v>1.51</v>
      </c>
      <c r="J84" s="43" t="s">
        <v>111</v>
      </c>
      <c r="K84" s="66" t="s">
        <v>129</v>
      </c>
      <c r="N84" s="48"/>
      <c r="O84" s="43" t="s">
        <v>113</v>
      </c>
      <c r="Q84" s="43">
        <v>2010</v>
      </c>
      <c r="U84" s="43" t="s">
        <v>114</v>
      </c>
      <c r="V84" s="43" t="str">
        <f>IFERROR(VLOOKUP(Table1[[#This Row],[LC TMDL Drainage Area]],Dropdowns!$P$3:$Q$23,2,FALSE),"")</f>
        <v>Malletts Bay</v>
      </c>
      <c r="W84" s="43" t="s">
        <v>115</v>
      </c>
      <c r="X84" s="43" t="s">
        <v>124</v>
      </c>
      <c r="Y84" s="43">
        <v>1.38</v>
      </c>
      <c r="Z84" s="43" t="s">
        <v>117</v>
      </c>
      <c r="AA84" s="43" t="s">
        <v>118</v>
      </c>
      <c r="AB84" s="93"/>
      <c r="AC84" s="93"/>
      <c r="AD84" s="93"/>
      <c r="AE84" s="93"/>
      <c r="AF84" s="43">
        <v>0.13</v>
      </c>
      <c r="AG84" s="43" t="s">
        <v>119</v>
      </c>
      <c r="AH84" s="5">
        <v>8</v>
      </c>
      <c r="AI84" s="5">
        <v>0.41</v>
      </c>
      <c r="AJ84" s="4">
        <v>3</v>
      </c>
      <c r="AK84" s="4">
        <v>230</v>
      </c>
      <c r="AL84" s="60"/>
      <c r="AM84"/>
      <c r="AN84" s="50">
        <v>870.38900000000001</v>
      </c>
      <c r="AP84" s="8" t="s">
        <v>120</v>
      </c>
      <c r="AQ84" s="8" t="s">
        <v>120</v>
      </c>
      <c r="AR8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0.93376313833984714</v>
      </c>
      <c r="AS8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0.1728851369237682</v>
      </c>
      <c r="AT8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8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0.7288513692376819</v>
      </c>
      <c r="AV8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2.1865541077130457E-2</v>
      </c>
      <c r="AW84" s="19">
        <f>IFERROR(Table1[[#This Row],[* Practice Efficiency]]*Table1[[#This Row],[* Load Before Treatment (kg/yr)]],"")</f>
        <v>2.0417236257680178E-2</v>
      </c>
      <c r="AX84" s="100">
        <f>Table1[[#This Row],[Manually entered practice effiency ]]*Table1[[#This Row],[* Load Before Treatment (kg/yr)]]</f>
        <v>0</v>
      </c>
      <c r="AY84" s="43" t="s">
        <v>121</v>
      </c>
      <c r="BA84" s="101">
        <v>1</v>
      </c>
      <c r="BB8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2.0417236257680178E-2</v>
      </c>
      <c r="BC84" s="44"/>
      <c r="BD84" s="44"/>
      <c r="BJ84" s="43"/>
      <c r="BK84" s="45"/>
      <c r="BL84" s="45"/>
      <c r="BM8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8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8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8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8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84" s="19" t="str">
        <f>IFERROR(Table1[[#This Row],[* Prior Practice Efficiency]]*Table1[[#This Row],[* Prior Load Before Treatment (kg/year)]],"")</f>
        <v/>
      </c>
      <c r="BT84" s="19" t="s">
        <v>130</v>
      </c>
    </row>
    <row r="85" spans="1:72">
      <c r="A85" s="43" t="s">
        <v>374</v>
      </c>
      <c r="B85" s="43" t="s">
        <v>375</v>
      </c>
      <c r="C85" s="43" t="s">
        <v>109</v>
      </c>
      <c r="D85" s="43" t="s">
        <v>110</v>
      </c>
      <c r="G85" s="44">
        <v>0.33300000000000002</v>
      </c>
      <c r="H85" s="44">
        <v>0</v>
      </c>
      <c r="I85" s="44">
        <v>0.88</v>
      </c>
      <c r="J85" s="43" t="s">
        <v>376</v>
      </c>
      <c r="K85" s="66" t="s">
        <v>112</v>
      </c>
      <c r="N85" s="48"/>
      <c r="O85" s="43" t="s">
        <v>113</v>
      </c>
      <c r="Q85" s="43">
        <v>2015</v>
      </c>
      <c r="U85" s="43" t="s">
        <v>214</v>
      </c>
      <c r="V85" s="43" t="str">
        <f>IFERROR(VLOOKUP(Table1[[#This Row],[LC TMDL Drainage Area]],Dropdowns!$P$3:$Q$23,2,FALSE),"")</f>
        <v>Malletts Bay</v>
      </c>
      <c r="W85" s="43" t="s">
        <v>115</v>
      </c>
      <c r="X85" s="43" t="s">
        <v>124</v>
      </c>
      <c r="Y85" s="43">
        <v>0.37</v>
      </c>
      <c r="Z85" s="43" t="s">
        <v>136</v>
      </c>
      <c r="AA85" s="43" t="s">
        <v>118</v>
      </c>
      <c r="AB85" s="93"/>
      <c r="AC85" s="93"/>
      <c r="AD85" s="93"/>
      <c r="AE85" s="93"/>
      <c r="AF85" s="43">
        <v>0.51</v>
      </c>
      <c r="AG85" s="43" t="s">
        <v>119</v>
      </c>
      <c r="AH85" s="5">
        <v>8</v>
      </c>
      <c r="AI85" s="5">
        <v>0.16</v>
      </c>
      <c r="AJ85" s="4">
        <v>4</v>
      </c>
      <c r="AK85" s="4">
        <v>534</v>
      </c>
      <c r="AL85" s="60">
        <v>170</v>
      </c>
      <c r="AM85"/>
      <c r="AN85" s="59">
        <v>738.20159999999998</v>
      </c>
      <c r="AP85" s="8" t="s">
        <v>120</v>
      </c>
      <c r="AQ85" s="8" t="s">
        <v>120</v>
      </c>
      <c r="AR8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0.24680759149435869</v>
      </c>
      <c r="AS8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0.46436015798222979</v>
      </c>
      <c r="AT8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8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0.32180078991114891</v>
      </c>
      <c r="AV8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6.2872031596445957E-2</v>
      </c>
      <c r="AW85" s="19">
        <f>IFERROR(Table1[[#This Row],[* Practice Efficiency]]*Table1[[#This Row],[* Load Before Treatment (kg/yr)]],"")</f>
        <v>1.5517294690676045E-2</v>
      </c>
      <c r="AX85" s="100">
        <f>Table1[[#This Row],[Manually entered practice effiency ]]*Table1[[#This Row],[* Load Before Treatment (kg/yr)]]</f>
        <v>0</v>
      </c>
      <c r="AY85" s="43" t="s">
        <v>121</v>
      </c>
      <c r="BA85" s="101">
        <v>1</v>
      </c>
      <c r="BB8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1.5517294690676045E-2</v>
      </c>
      <c r="BC85" s="44"/>
      <c r="BD85" s="44"/>
      <c r="BJ85" s="43"/>
      <c r="BK85" s="45"/>
      <c r="BL85" s="45"/>
      <c r="BM8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8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8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8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8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85" s="19" t="str">
        <f>IFERROR(Table1[[#This Row],[* Prior Practice Efficiency]]*Table1[[#This Row],[* Prior Load Before Treatment (kg/year)]],"")</f>
        <v/>
      </c>
      <c r="BT85" s="19"/>
    </row>
    <row r="86" spans="1:72">
      <c r="A86" s="43" t="s">
        <v>427</v>
      </c>
      <c r="B86" s="43" t="s">
        <v>428</v>
      </c>
      <c r="C86" s="43" t="s">
        <v>109</v>
      </c>
      <c r="D86" s="43" t="s">
        <v>110</v>
      </c>
      <c r="G86" s="44">
        <v>0.48</v>
      </c>
      <c r="H86" s="44">
        <v>2.1</v>
      </c>
      <c r="I86" s="44">
        <v>16.239999999999998</v>
      </c>
      <c r="J86" s="43" t="s">
        <v>429</v>
      </c>
      <c r="K86" s="207" t="s">
        <v>112</v>
      </c>
      <c r="N86" s="48"/>
      <c r="O86" s="43" t="s">
        <v>113</v>
      </c>
      <c r="Q86" s="43">
        <v>2018</v>
      </c>
      <c r="U86" s="43" t="s">
        <v>114</v>
      </c>
      <c r="V86" s="43" t="str">
        <f>IFERROR(VLOOKUP(Table1[[#This Row],[LC TMDL Drainage Area]],Dropdowns!$P$3:$Q$23,2,FALSE),"")</f>
        <v>Malletts Bay</v>
      </c>
      <c r="W86" s="43" t="s">
        <v>115</v>
      </c>
      <c r="X86" s="43" t="s">
        <v>124</v>
      </c>
      <c r="Y86" s="43">
        <v>6.5</v>
      </c>
      <c r="Z86" s="43" t="s">
        <v>146</v>
      </c>
      <c r="AA86" s="43" t="s">
        <v>118</v>
      </c>
      <c r="AF86" s="43">
        <v>9.74</v>
      </c>
      <c r="AG86" s="43" t="s">
        <v>119</v>
      </c>
      <c r="AH86" s="5">
        <v>5</v>
      </c>
      <c r="AI86" s="5">
        <v>0.37</v>
      </c>
      <c r="AJ86" s="4">
        <v>3</v>
      </c>
      <c r="AK86" s="4">
        <v>800</v>
      </c>
      <c r="AL86" s="60">
        <v>330</v>
      </c>
      <c r="AM86"/>
      <c r="AN86" s="59">
        <v>5198</v>
      </c>
      <c r="AP86" s="208" t="s">
        <v>120</v>
      </c>
      <c r="AQ86" s="208" t="s">
        <v>343</v>
      </c>
      <c r="AR8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5.9888260965221383</v>
      </c>
      <c r="AS8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0.2018175310089543</v>
      </c>
      <c r="AT8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8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9.0876550447714644E-3</v>
      </c>
      <c r="AV8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2.0363506201790858E-2</v>
      </c>
      <c r="AW86" s="19">
        <f>IFERROR(Table1[[#This Row],[* Practice Efficiency]]*Table1[[#This Row],[* Load Before Treatment (kg/yr)]],"")</f>
        <v>0.1219534973579755</v>
      </c>
      <c r="AX86" s="100">
        <f>Table1[[#This Row],[Manually entered practice effiency ]]*Table1[[#This Row],[* Load Before Treatment (kg/yr)]]</f>
        <v>0</v>
      </c>
      <c r="AY86" s="43" t="s">
        <v>121</v>
      </c>
      <c r="BA86" s="101">
        <v>1</v>
      </c>
      <c r="BB8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0.1219534973579755</v>
      </c>
      <c r="BC86" s="44"/>
      <c r="BD86" s="44"/>
      <c r="BJ86" s="43"/>
      <c r="BK86" s="45"/>
      <c r="BL86" s="45"/>
      <c r="BM8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8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8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8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8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86" s="19" t="str">
        <f>IFERROR(Table1[[#This Row],[* Prior Practice Efficiency]]*Table1[[#This Row],[* Prior Load Before Treatment (kg/year)]],"")</f>
        <v/>
      </c>
      <c r="BT86" s="19" t="s">
        <v>430</v>
      </c>
    </row>
    <row r="87" spans="1:72">
      <c r="A87" s="43" t="s">
        <v>431</v>
      </c>
      <c r="B87" s="43" t="s">
        <v>432</v>
      </c>
      <c r="C87" s="43" t="s">
        <v>109</v>
      </c>
      <c r="D87" s="43" t="s">
        <v>433</v>
      </c>
      <c r="G87" s="44">
        <v>0.48</v>
      </c>
      <c r="H87" s="44">
        <v>2.1</v>
      </c>
      <c r="I87" s="44">
        <v>16.239999999999998</v>
      </c>
      <c r="J87" s="43" t="s">
        <v>429</v>
      </c>
      <c r="K87" s="203" t="s">
        <v>112</v>
      </c>
      <c r="N87" s="48"/>
      <c r="O87" s="43" t="s">
        <v>113</v>
      </c>
      <c r="Q87" s="43">
        <v>2018</v>
      </c>
      <c r="U87" s="43" t="s">
        <v>114</v>
      </c>
      <c r="V87" s="43" t="str">
        <f>IFERROR(VLOOKUP(Table1[[#This Row],[LC TMDL Drainage Area]],Dropdowns!$P$3:$Q$23,2,FALSE),"")</f>
        <v>Malletts Bay</v>
      </c>
      <c r="W87" s="43" t="s">
        <v>115</v>
      </c>
      <c r="X87" s="43" t="s">
        <v>434</v>
      </c>
      <c r="Y87" s="43">
        <v>6.5</v>
      </c>
      <c r="Z87" s="43" t="s">
        <v>146</v>
      </c>
      <c r="AA87" s="43" t="s">
        <v>118</v>
      </c>
      <c r="AF87" s="43">
        <v>9.74</v>
      </c>
      <c r="AG87" s="43" t="s">
        <v>119</v>
      </c>
      <c r="AH87" s="203"/>
      <c r="AI87" s="203"/>
      <c r="AJ87" s="203"/>
      <c r="AK87" s="203"/>
      <c r="AL87" s="204"/>
      <c r="AM87" s="43">
        <v>0.125</v>
      </c>
      <c r="AN87" s="50">
        <f>5198*0.05</f>
        <v>259.90000000000003</v>
      </c>
      <c r="AP87" s="209" t="s">
        <v>120</v>
      </c>
      <c r="AQ87" s="209" t="s">
        <v>343</v>
      </c>
      <c r="AR8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5.9888260965221383</v>
      </c>
      <c r="AS87" s="19">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2.4618972996059214</v>
      </c>
      <c r="AT87" s="19" t="e">
        <f>(VLOOKUP(Table1[[#This Row],[BMP Type ]],'Performance Curves'!A269:L312,MATCH(Table1[[#This Row],[* Storage Depth (inches)]],'Performance Curves'!$E$1:$L$1,1)+3)-VLOOKUP(Table1[[#This Row],[BMP Type ]],'Performance Curves'!A269:L312,MATCH(Table1[[#This Row],[* Storage Depth (inches)]],'Performance Curves'!$E$1:$L$1,1)+1))</f>
        <v>#N/A</v>
      </c>
      <c r="AU8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8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87" s="19" t="str">
        <f>IFERROR(Table1[[#This Row],[* Practice Efficiency]]*Table1[[#This Row],[* Load Before Treatment (kg/yr)]],"")</f>
        <v/>
      </c>
      <c r="AX87" s="100">
        <f>Table1[[#This Row],[Manually entered practice effiency ]]*Table1[[#This Row],[* Load Before Treatment (kg/yr)]]</f>
        <v>0.74860326206526728</v>
      </c>
      <c r="AY87" s="44" t="s">
        <v>121</v>
      </c>
      <c r="BA87" s="101">
        <v>1</v>
      </c>
      <c r="BB8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0.74860326206526728</v>
      </c>
      <c r="BC87" s="44"/>
      <c r="BD87" s="44"/>
      <c r="BJ87" s="43"/>
      <c r="BK87" s="45"/>
      <c r="BL87" s="45"/>
      <c r="BM8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8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8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8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8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87" s="19" t="str">
        <f>IFERROR(Table1[[#This Row],[* Prior Practice Efficiency]]*Table1[[#This Row],[* Prior Load Before Treatment (kg/year)]],"")</f>
        <v/>
      </c>
      <c r="BT87" s="19"/>
    </row>
    <row r="88" spans="1:72">
      <c r="A88" s="43" t="s">
        <v>515</v>
      </c>
      <c r="B88" s="43" t="s">
        <v>516</v>
      </c>
      <c r="C88" s="43" t="s">
        <v>109</v>
      </c>
      <c r="D88" s="43" t="s">
        <v>110</v>
      </c>
      <c r="G88" s="44">
        <v>1.59</v>
      </c>
      <c r="H88" s="44">
        <v>0.12</v>
      </c>
      <c r="I88" s="44">
        <v>5.2</v>
      </c>
      <c r="J88" s="43" t="s">
        <v>517</v>
      </c>
      <c r="K88" s="203" t="s">
        <v>112</v>
      </c>
      <c r="N88" s="48"/>
      <c r="O88" s="43" t="s">
        <v>113</v>
      </c>
      <c r="Q88" s="43">
        <v>2022</v>
      </c>
      <c r="U88" s="43" t="s">
        <v>134</v>
      </c>
      <c r="V88" s="43" t="s">
        <v>492</v>
      </c>
      <c r="X88" s="43" t="s">
        <v>141</v>
      </c>
      <c r="Y88" s="43">
        <v>1.43</v>
      </c>
      <c r="Z88" s="43" t="s">
        <v>136</v>
      </c>
      <c r="AA88" s="43" t="s">
        <v>118</v>
      </c>
      <c r="AF88" s="43">
        <v>0</v>
      </c>
      <c r="AG88" s="43" t="s">
        <v>119</v>
      </c>
      <c r="AH88" s="203"/>
      <c r="AI88" s="203"/>
      <c r="AJ88" s="203"/>
      <c r="AK88" s="203"/>
      <c r="AL88" s="204"/>
      <c r="AM88" s="43">
        <v>0.74</v>
      </c>
      <c r="AN88" s="59"/>
      <c r="AP88" s="205" t="s">
        <v>120</v>
      </c>
      <c r="AQ88" s="205" t="s">
        <v>120</v>
      </c>
      <c r="AR8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0.93919605200033052</v>
      </c>
      <c r="AS8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8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8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8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88" s="19" t="str">
        <f>IFERROR(Table1[[#This Row],[* Practice Efficiency]]*Table1[[#This Row],[* Load Before Treatment (kg/yr)]],"")</f>
        <v/>
      </c>
      <c r="AX88" s="100">
        <v>0.69500507848024462</v>
      </c>
      <c r="AY88" s="44" t="s">
        <v>121</v>
      </c>
      <c r="BA88" s="101">
        <v>1</v>
      </c>
      <c r="BB8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0.69500507848024462</v>
      </c>
      <c r="BC88" s="44"/>
      <c r="BD88" s="44"/>
      <c r="BJ88" s="43"/>
      <c r="BK88" s="45"/>
      <c r="BL88" s="45"/>
      <c r="BM8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8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8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8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8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88" s="19" t="str">
        <f>IFERROR(Table1[[#This Row],[* Prior Practice Efficiency]]*Table1[[#This Row],[* Prior Load Before Treatment (kg/year)]],"")</f>
        <v/>
      </c>
      <c r="BT88" s="19"/>
    </row>
    <row r="89" spans="1:72">
      <c r="A89" s="43" t="s">
        <v>518</v>
      </c>
      <c r="B89" s="43" t="s">
        <v>516</v>
      </c>
      <c r="C89" s="43" t="s">
        <v>109</v>
      </c>
      <c r="D89" s="43" t="s">
        <v>110</v>
      </c>
      <c r="G89" s="44">
        <v>7.0000000000000007E-2</v>
      </c>
      <c r="H89" s="44">
        <v>0.02</v>
      </c>
      <c r="I89" s="44">
        <v>0.24</v>
      </c>
      <c r="J89" s="43" t="s">
        <v>517</v>
      </c>
      <c r="K89" s="203" t="s">
        <v>129</v>
      </c>
      <c r="N89" s="48"/>
      <c r="O89" s="43" t="s">
        <v>113</v>
      </c>
      <c r="Q89" s="43">
        <v>2022</v>
      </c>
      <c r="U89" s="43" t="s">
        <v>134</v>
      </c>
      <c r="V89" s="43" t="s">
        <v>492</v>
      </c>
      <c r="X89" s="43" t="s">
        <v>519</v>
      </c>
      <c r="Y89" s="43">
        <v>0.27</v>
      </c>
      <c r="Z89" s="43" t="s">
        <v>136</v>
      </c>
      <c r="AA89" s="43" t="s">
        <v>118</v>
      </c>
      <c r="AF89" s="43">
        <v>0.36</v>
      </c>
      <c r="AG89" s="43" t="s">
        <v>119</v>
      </c>
      <c r="AH89" s="203"/>
      <c r="AI89" s="203"/>
      <c r="AJ89" s="203"/>
      <c r="AK89" s="203"/>
      <c r="AL89" s="204"/>
      <c r="AN89" s="50">
        <v>755.5</v>
      </c>
      <c r="AO89" s="43" t="s">
        <v>520</v>
      </c>
      <c r="AP89" s="205" t="s">
        <v>120</v>
      </c>
      <c r="AQ89" s="205" t="s">
        <v>120</v>
      </c>
      <c r="AR8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0.17733072310495754</v>
      </c>
      <c r="AS8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0.62368163282694677</v>
      </c>
      <c r="AT89"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9.9999999999999978E-2</v>
      </c>
      <c r="AU8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0.11840816413473394</v>
      </c>
      <c r="AV8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0.78184081641347336</v>
      </c>
      <c r="AW89" s="19">
        <f>IFERROR(Table1[[#This Row],[* Practice Efficiency]]*Table1[[#This Row],[* Load Before Treatment (kg/yr)]],"")</f>
        <v>0.13864439732757158</v>
      </c>
      <c r="AX89" s="100">
        <v>0</v>
      </c>
      <c r="AY89" s="44" t="s">
        <v>121</v>
      </c>
      <c r="BA89" s="101">
        <v>1</v>
      </c>
      <c r="BB8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0.13864439732757158</v>
      </c>
      <c r="BC89" s="44"/>
      <c r="BD89" s="44"/>
      <c r="BJ89" s="43"/>
      <c r="BK89" s="45"/>
      <c r="BL89" s="45"/>
      <c r="BM8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8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8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8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8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89" s="19" t="str">
        <f>IFERROR(Table1[[#This Row],[* Prior Practice Efficiency]]*Table1[[#This Row],[* Prior Load Before Treatment (kg/year)]],"")</f>
        <v/>
      </c>
      <c r="BT89" s="19"/>
    </row>
    <row r="90" spans="1:72">
      <c r="A90" s="43" t="s">
        <v>521</v>
      </c>
      <c r="B90" s="43" t="s">
        <v>516</v>
      </c>
      <c r="C90" s="43" t="s">
        <v>109</v>
      </c>
      <c r="D90" s="43" t="s">
        <v>110</v>
      </c>
      <c r="G90" s="44">
        <v>7.0000000000000007E-2</v>
      </c>
      <c r="H90" s="44">
        <v>0.03</v>
      </c>
      <c r="I90" s="44">
        <v>0.19</v>
      </c>
      <c r="J90" s="43" t="s">
        <v>517</v>
      </c>
      <c r="K90" s="203" t="s">
        <v>148</v>
      </c>
      <c r="N90" s="48"/>
      <c r="O90" s="43" t="s">
        <v>113</v>
      </c>
      <c r="Q90" s="43">
        <v>2022</v>
      </c>
      <c r="U90" s="43" t="s">
        <v>134</v>
      </c>
      <c r="V90" s="43" t="s">
        <v>492</v>
      </c>
      <c r="X90" s="43" t="s">
        <v>141</v>
      </c>
      <c r="Y90" s="43">
        <v>7.0000000000000007E-2</v>
      </c>
      <c r="Z90" s="43" t="s">
        <v>136</v>
      </c>
      <c r="AA90" s="43" t="s">
        <v>118</v>
      </c>
      <c r="AF90" s="43">
        <v>0</v>
      </c>
      <c r="AG90" s="43" t="s">
        <v>119</v>
      </c>
      <c r="AH90" s="203"/>
      <c r="AI90" s="203"/>
      <c r="AJ90" s="203"/>
      <c r="AK90" s="203"/>
      <c r="AL90" s="204"/>
      <c r="AM90" s="43">
        <v>0.74</v>
      </c>
      <c r="AN90" s="50"/>
      <c r="AP90" s="205" t="s">
        <v>120</v>
      </c>
      <c r="AQ90" s="205" t="s">
        <v>120</v>
      </c>
      <c r="AR9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4.59746319161001E-2</v>
      </c>
      <c r="AS9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9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9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9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90" s="19" t="str">
        <f>IFERROR(Table1[[#This Row],[* Practice Efficiency]]*Table1[[#This Row],[* Load Before Treatment (kg/yr)]],"")</f>
        <v/>
      </c>
      <c r="AX90" s="100">
        <v>3.4021227617914075E-2</v>
      </c>
      <c r="AY90" s="44" t="s">
        <v>121</v>
      </c>
      <c r="BA90" s="101">
        <v>1</v>
      </c>
      <c r="BB9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3.4021227617914075E-2</v>
      </c>
      <c r="BC90" s="44"/>
      <c r="BD90" s="44"/>
      <c r="BJ90" s="43"/>
      <c r="BK90" s="45"/>
      <c r="BL90" s="45"/>
      <c r="BM9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9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9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9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9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90" s="19" t="str">
        <f>IFERROR(Table1[[#This Row],[* Prior Practice Efficiency]]*Table1[[#This Row],[* Prior Load Before Treatment (kg/year)]],"")</f>
        <v/>
      </c>
      <c r="BT90" s="19"/>
    </row>
    <row r="91" spans="1:72">
      <c r="A91" s="43" t="s">
        <v>522</v>
      </c>
      <c r="B91" s="43" t="s">
        <v>523</v>
      </c>
      <c r="C91" s="43" t="s">
        <v>109</v>
      </c>
      <c r="D91" s="43" t="s">
        <v>524</v>
      </c>
      <c r="G91" s="44">
        <v>7.0000000000000007E-2</v>
      </c>
      <c r="H91" s="44">
        <v>0.02</v>
      </c>
      <c r="I91" s="44">
        <v>0.24</v>
      </c>
      <c r="J91" s="43" t="s">
        <v>517</v>
      </c>
      <c r="K91" s="203" t="s">
        <v>129</v>
      </c>
      <c r="N91" s="48"/>
      <c r="O91" s="43" t="s">
        <v>113</v>
      </c>
      <c r="Q91" s="43">
        <v>2022</v>
      </c>
      <c r="U91" s="43" t="s">
        <v>134</v>
      </c>
      <c r="V91" s="43" t="s">
        <v>492</v>
      </c>
      <c r="X91" s="43" t="s">
        <v>141</v>
      </c>
      <c r="Y91" s="43">
        <v>0.05</v>
      </c>
      <c r="Z91" s="43" t="s">
        <v>136</v>
      </c>
      <c r="AA91" s="43" t="s">
        <v>118</v>
      </c>
      <c r="AF91" s="43">
        <v>0</v>
      </c>
      <c r="AG91" s="43" t="s">
        <v>119</v>
      </c>
      <c r="AH91" s="203"/>
      <c r="AI91" s="203"/>
      <c r="AJ91" s="203"/>
      <c r="AK91" s="203"/>
      <c r="AL91" s="204"/>
      <c r="AM91" s="43">
        <v>0.74</v>
      </c>
      <c r="AN91" s="50"/>
      <c r="AP91" s="205" t="s">
        <v>120</v>
      </c>
      <c r="AQ91" s="205" t="s">
        <v>120</v>
      </c>
      <c r="AR9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3.2839022797214359E-2</v>
      </c>
      <c r="AS9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9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9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9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91" s="19" t="str">
        <f>IFERROR(Table1[[#This Row],[* Practice Efficiency]]*Table1[[#This Row],[* Load Before Treatment (kg/yr)]],"")</f>
        <v/>
      </c>
      <c r="AX91" s="100">
        <v>2.4300876869938627E-2</v>
      </c>
      <c r="AY91" s="44" t="s">
        <v>121</v>
      </c>
      <c r="BA91" s="101">
        <v>1</v>
      </c>
      <c r="BB9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2.4300876869938627E-2</v>
      </c>
      <c r="BC91" s="44"/>
      <c r="BD91" s="44"/>
      <c r="BJ91" s="43"/>
      <c r="BK91" s="45"/>
      <c r="BL91" s="45"/>
      <c r="BM9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9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9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9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9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91" s="19" t="str">
        <f>IFERROR(Table1[[#This Row],[* Prior Practice Efficiency]]*Table1[[#This Row],[* Prior Load Before Treatment (kg/year)]],"")</f>
        <v/>
      </c>
      <c r="BT91" s="19"/>
    </row>
    <row r="92" spans="1:72">
      <c r="A92" s="43" t="s">
        <v>174</v>
      </c>
      <c r="B92" s="43" t="s">
        <v>175</v>
      </c>
      <c r="C92" s="43" t="s">
        <v>109</v>
      </c>
      <c r="D92" s="43" t="s">
        <v>110</v>
      </c>
      <c r="G92" s="44">
        <v>0.02</v>
      </c>
      <c r="H92" s="44">
        <v>0.11</v>
      </c>
      <c r="J92" s="43" t="s">
        <v>176</v>
      </c>
      <c r="K92" s="66" t="s">
        <v>148</v>
      </c>
      <c r="N92" s="48"/>
      <c r="O92" s="43" t="s">
        <v>113</v>
      </c>
      <c r="Q92" s="43">
        <v>2011</v>
      </c>
      <c r="U92" s="43" t="s">
        <v>177</v>
      </c>
      <c r="V92" s="43" t="str">
        <f>IFERROR(VLOOKUP(Table1[[#This Row],[LC TMDL Drainage Area]],Dropdowns!$P$3:$Q$23,2,FALSE),"")</f>
        <v>Otter Creek</v>
      </c>
      <c r="W92" s="43" t="s">
        <v>115</v>
      </c>
      <c r="X92" s="43" t="s">
        <v>124</v>
      </c>
      <c r="Y92" s="43">
        <v>0.13</v>
      </c>
      <c r="Z92" s="43" t="s">
        <v>136</v>
      </c>
      <c r="AA92" s="43" t="s">
        <v>118</v>
      </c>
      <c r="AF92" s="43">
        <v>0.28999999999999998</v>
      </c>
      <c r="AG92" s="43" t="s">
        <v>119</v>
      </c>
      <c r="AH92" s="5">
        <v>4</v>
      </c>
      <c r="AI92" s="5">
        <v>0.21</v>
      </c>
      <c r="AJ92" s="4">
        <v>4</v>
      </c>
      <c r="AK92" s="4">
        <v>91.86</v>
      </c>
      <c r="AL92" s="60"/>
      <c r="AM92"/>
      <c r="AN92" s="59">
        <v>93.366503999999992</v>
      </c>
      <c r="AP92" s="8" t="s">
        <v>166</v>
      </c>
      <c r="AQ92" s="8" t="s">
        <v>166</v>
      </c>
      <c r="AR9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8.9198895703558309E-2</v>
      </c>
      <c r="AS9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0.17652045012797363</v>
      </c>
      <c r="AT9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9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0.76520450127973616</v>
      </c>
      <c r="AV9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2.2956135038392087E-2</v>
      </c>
      <c r="AW92" s="19">
        <f>IFERROR(Table1[[#This Row],[* Practice Efficiency]]*Table1[[#This Row],[* Load Before Treatment (kg/yr)]],"")</f>
        <v>2.0476618950463362E-3</v>
      </c>
      <c r="AX92" s="100">
        <f>Table1[[#This Row],[Manually entered practice effiency ]]*Table1[[#This Row],[* Load Before Treatment (kg/yr)]]</f>
        <v>0</v>
      </c>
      <c r="AY92" s="43" t="s">
        <v>121</v>
      </c>
      <c r="BA92" s="101">
        <v>1</v>
      </c>
      <c r="BB9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2.0476618950463362E-3</v>
      </c>
      <c r="BC92" s="44"/>
      <c r="BD92" s="44"/>
      <c r="BJ92" s="43"/>
      <c r="BK92" s="45"/>
      <c r="BL92" s="45"/>
      <c r="BM9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9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9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9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9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92" s="19" t="str">
        <f>IFERROR(Table1[[#This Row],[* Prior Practice Efficiency]]*Table1[[#This Row],[* Prior Load Before Treatment (kg/year)]],"")</f>
        <v/>
      </c>
      <c r="BT92" s="19" t="s">
        <v>178</v>
      </c>
    </row>
    <row r="93" spans="1:72">
      <c r="A93" s="43" t="s">
        <v>179</v>
      </c>
      <c r="B93" s="43" t="s">
        <v>175</v>
      </c>
      <c r="C93" s="43" t="s">
        <v>109</v>
      </c>
      <c r="D93" s="43" t="s">
        <v>110</v>
      </c>
      <c r="G93" s="44">
        <v>0.26</v>
      </c>
      <c r="H93" s="44">
        <v>0.5</v>
      </c>
      <c r="J93" s="43" t="s">
        <v>176</v>
      </c>
      <c r="K93" s="66" t="s">
        <v>150</v>
      </c>
      <c r="N93" s="48"/>
      <c r="O93" s="43" t="s">
        <v>113</v>
      </c>
      <c r="Q93" s="43">
        <v>2011</v>
      </c>
      <c r="U93" s="43" t="s">
        <v>177</v>
      </c>
      <c r="V93" s="43" t="str">
        <f>IFERROR(VLOOKUP(Table1[[#This Row],[LC TMDL Drainage Area]],Dropdowns!$P$3:$Q$23,2,FALSE),"")</f>
        <v>Otter Creek</v>
      </c>
      <c r="W93" s="43" t="s">
        <v>115</v>
      </c>
      <c r="X93" s="43" t="s">
        <v>124</v>
      </c>
      <c r="Y93" s="43">
        <v>0.76</v>
      </c>
      <c r="Z93" s="43" t="s">
        <v>136</v>
      </c>
      <c r="AA93" s="43" t="s">
        <v>118</v>
      </c>
      <c r="AF93" s="43">
        <v>0.43</v>
      </c>
      <c r="AG93" s="43" t="s">
        <v>119</v>
      </c>
      <c r="AH93" s="4">
        <v>4</v>
      </c>
      <c r="AI93" s="4">
        <v>0.09</v>
      </c>
      <c r="AJ93" s="4">
        <v>4</v>
      </c>
      <c r="AK93" s="4">
        <v>72.180000000000007</v>
      </c>
      <c r="AL93" s="60"/>
      <c r="AM93"/>
      <c r="AN93" s="59">
        <v>28.323432000000004</v>
      </c>
      <c r="AP93" s="8" t="s">
        <v>166</v>
      </c>
      <c r="AQ93" s="8" t="s">
        <v>166</v>
      </c>
      <c r="AR9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0.5214704671900332</v>
      </c>
      <c r="AS9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1.0217406165634605E-2</v>
      </c>
      <c r="AT9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0.02</v>
      </c>
      <c r="AU9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9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93" s="19" t="str">
        <f>IFERROR(Table1[[#This Row],[* Practice Efficiency]]*Table1[[#This Row],[* Load Before Treatment (kg/yr)]],"")</f>
        <v/>
      </c>
      <c r="AX93" s="100">
        <f>Table1[[#This Row],[Manually entered practice effiency ]]*Table1[[#This Row],[* Load Before Treatment (kg/yr)]]</f>
        <v>0</v>
      </c>
      <c r="AY93" s="43" t="s">
        <v>121</v>
      </c>
      <c r="BA93" s="101">
        <v>1</v>
      </c>
      <c r="BB9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93" s="44"/>
      <c r="BD93" s="44"/>
      <c r="BJ93" s="43"/>
      <c r="BK93" s="45"/>
      <c r="BL93" s="45"/>
      <c r="BM9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9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9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9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9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93" s="19" t="str">
        <f>IFERROR(Table1[[#This Row],[* Prior Practice Efficiency]]*Table1[[#This Row],[* Prior Load Before Treatment (kg/year)]],"")</f>
        <v/>
      </c>
      <c r="BT93" s="19" t="s">
        <v>180</v>
      </c>
    </row>
    <row r="94" spans="1:72">
      <c r="A94" s="43" t="s">
        <v>181</v>
      </c>
      <c r="B94" s="43" t="s">
        <v>175</v>
      </c>
      <c r="C94" s="43" t="s">
        <v>109</v>
      </c>
      <c r="D94" s="43" t="s">
        <v>110</v>
      </c>
      <c r="G94" s="44">
        <v>0.26</v>
      </c>
      <c r="H94" s="44">
        <v>0.5</v>
      </c>
      <c r="J94" s="43" t="s">
        <v>176</v>
      </c>
      <c r="K94" s="66" t="s">
        <v>150</v>
      </c>
      <c r="N94" s="48"/>
      <c r="O94" s="43" t="s">
        <v>113</v>
      </c>
      <c r="Q94" s="43">
        <v>2011</v>
      </c>
      <c r="U94" s="43" t="s">
        <v>177</v>
      </c>
      <c r="V94" s="43" t="str">
        <f>IFERROR(VLOOKUP(Table1[[#This Row],[LC TMDL Drainage Area]],Dropdowns!$P$3:$Q$23,2,FALSE),"")</f>
        <v>Otter Creek</v>
      </c>
      <c r="W94" s="43" t="s">
        <v>115</v>
      </c>
      <c r="X94" s="43" t="s">
        <v>124</v>
      </c>
      <c r="Y94" s="43">
        <v>0.76</v>
      </c>
      <c r="Z94" s="43" t="s">
        <v>136</v>
      </c>
      <c r="AA94" s="43" t="s">
        <v>118</v>
      </c>
      <c r="AF94" s="43">
        <v>0.43</v>
      </c>
      <c r="AG94" s="43" t="s">
        <v>119</v>
      </c>
      <c r="AH94" s="5">
        <v>4</v>
      </c>
      <c r="AI94" s="5">
        <v>0.1</v>
      </c>
      <c r="AJ94" s="4">
        <v>4</v>
      </c>
      <c r="AK94" s="4">
        <v>78.739999999999995</v>
      </c>
      <c r="AL94" s="60"/>
      <c r="AM94"/>
      <c r="AN94" s="59">
        <v>34.645600000000002</v>
      </c>
      <c r="AP94" s="8" t="s">
        <v>166</v>
      </c>
      <c r="AQ94" s="8" t="s">
        <v>166</v>
      </c>
      <c r="AR9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0.5214704671900332</v>
      </c>
      <c r="AS9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1.2493670304003579E-2</v>
      </c>
      <c r="AT9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0.02</v>
      </c>
      <c r="AU9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9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94" s="19" t="str">
        <f>IFERROR(Table1[[#This Row],[* Practice Efficiency]]*Table1[[#This Row],[* Load Before Treatment (kg/yr)]],"")</f>
        <v/>
      </c>
      <c r="AX94" s="100">
        <f>Table1[[#This Row],[Manually entered practice effiency ]]*Table1[[#This Row],[* Load Before Treatment (kg/yr)]]</f>
        <v>0</v>
      </c>
      <c r="AY94" s="43" t="s">
        <v>121</v>
      </c>
      <c r="BA94" s="101">
        <v>1</v>
      </c>
      <c r="BB9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94" s="44"/>
      <c r="BD94" s="44"/>
      <c r="BJ94" s="43"/>
      <c r="BK94" s="45"/>
      <c r="BL94" s="45"/>
      <c r="BM9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9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9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9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9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94" s="19" t="str">
        <f>IFERROR(Table1[[#This Row],[* Prior Practice Efficiency]]*Table1[[#This Row],[* Prior Load Before Treatment (kg/year)]],"")</f>
        <v/>
      </c>
      <c r="BT94" s="19" t="s">
        <v>182</v>
      </c>
    </row>
    <row r="95" spans="1:72">
      <c r="A95" s="43" t="s">
        <v>183</v>
      </c>
      <c r="B95" s="43" t="s">
        <v>175</v>
      </c>
      <c r="C95" s="43" t="s">
        <v>109</v>
      </c>
      <c r="D95" s="43" t="s">
        <v>110</v>
      </c>
      <c r="G95" s="44">
        <v>0.08</v>
      </c>
      <c r="H95" s="44">
        <v>0.17</v>
      </c>
      <c r="J95" s="43" t="s">
        <v>176</v>
      </c>
      <c r="K95" s="66" t="s">
        <v>154</v>
      </c>
      <c r="N95" s="48"/>
      <c r="O95" s="43" t="s">
        <v>113</v>
      </c>
      <c r="Q95" s="43">
        <v>2011</v>
      </c>
      <c r="U95" s="43" t="s">
        <v>177</v>
      </c>
      <c r="V95" s="43" t="str">
        <f>IFERROR(VLOOKUP(Table1[[#This Row],[LC TMDL Drainage Area]],Dropdowns!$P$3:$Q$23,2,FALSE),"")</f>
        <v>Otter Creek</v>
      </c>
      <c r="W95" s="43" t="s">
        <v>115</v>
      </c>
      <c r="X95" s="43" t="s">
        <v>124</v>
      </c>
      <c r="Y95" s="43">
        <v>0.25</v>
      </c>
      <c r="Z95" s="43" t="s">
        <v>136</v>
      </c>
      <c r="AA95" s="43" t="s">
        <v>118</v>
      </c>
      <c r="AF95" s="43">
        <v>0.52</v>
      </c>
      <c r="AG95" s="43" t="s">
        <v>119</v>
      </c>
      <c r="AH95" s="4">
        <v>4</v>
      </c>
      <c r="AI95" s="4">
        <v>0.18</v>
      </c>
      <c r="AJ95" s="4">
        <v>4</v>
      </c>
      <c r="AK95" s="4">
        <v>134.51</v>
      </c>
      <c r="AL95" s="60"/>
      <c r="AM95"/>
      <c r="AN95" s="59">
        <v>114.27969599999999</v>
      </c>
      <c r="AP95" s="8" t="s">
        <v>166</v>
      </c>
      <c r="AQ95" s="8" t="s">
        <v>166</v>
      </c>
      <c r="AR9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0.17153633789145828</v>
      </c>
      <c r="AS9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0.11675743131291381</v>
      </c>
      <c r="AT9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9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0.16757431312913809</v>
      </c>
      <c r="AV9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5.0272293938741427E-3</v>
      </c>
      <c r="AW95" s="19">
        <f>IFERROR(Table1[[#This Row],[* Practice Efficiency]]*Table1[[#This Row],[* Load Before Treatment (kg/yr)]],"")</f>
        <v>8.6235251996546591E-4</v>
      </c>
      <c r="AX95" s="100">
        <f>Table1[[#This Row],[Manually entered practice effiency ]]*Table1[[#This Row],[* Load Before Treatment (kg/yr)]]</f>
        <v>0</v>
      </c>
      <c r="AY95" s="43" t="s">
        <v>121</v>
      </c>
      <c r="BA95" s="101">
        <v>1</v>
      </c>
      <c r="BB9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8.6235251996546591E-4</v>
      </c>
      <c r="BC95" s="44"/>
      <c r="BD95" s="44"/>
      <c r="BJ95" s="43"/>
      <c r="BK95" s="45"/>
      <c r="BL95" s="45"/>
      <c r="BM9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9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9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9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9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95" s="19" t="str">
        <f>IFERROR(Table1[[#This Row],[* Prior Practice Efficiency]]*Table1[[#This Row],[* Prior Load Before Treatment (kg/year)]],"")</f>
        <v/>
      </c>
      <c r="BT95" s="19" t="s">
        <v>184</v>
      </c>
    </row>
    <row r="96" spans="1:72">
      <c r="A96" s="43" t="s">
        <v>185</v>
      </c>
      <c r="B96" s="43" t="s">
        <v>175</v>
      </c>
      <c r="C96" s="43" t="s">
        <v>109</v>
      </c>
      <c r="D96" s="43" t="s">
        <v>110</v>
      </c>
      <c r="G96" s="44">
        <v>0.08</v>
      </c>
      <c r="H96" s="44">
        <v>0.17</v>
      </c>
      <c r="J96" s="43" t="s">
        <v>176</v>
      </c>
      <c r="K96" s="66" t="s">
        <v>154</v>
      </c>
      <c r="N96" s="48"/>
      <c r="O96" s="43" t="s">
        <v>113</v>
      </c>
      <c r="Q96" s="43">
        <v>2011</v>
      </c>
      <c r="U96" s="43" t="s">
        <v>177</v>
      </c>
      <c r="V96" s="43" t="str">
        <f>IFERROR(VLOOKUP(Table1[[#This Row],[LC TMDL Drainage Area]],Dropdowns!$P$3:$Q$23,2,FALSE),"")</f>
        <v>Otter Creek</v>
      </c>
      <c r="W96" s="43" t="s">
        <v>115</v>
      </c>
      <c r="X96" s="43" t="s">
        <v>124</v>
      </c>
      <c r="Y96" s="43">
        <v>0.25</v>
      </c>
      <c r="Z96" s="43" t="s">
        <v>136</v>
      </c>
      <c r="AA96" s="43" t="s">
        <v>118</v>
      </c>
      <c r="AF96" s="43">
        <v>0.52</v>
      </c>
      <c r="AG96" s="43" t="s">
        <v>119</v>
      </c>
      <c r="AH96" s="5">
        <v>4</v>
      </c>
      <c r="AI96" s="5">
        <v>0.05</v>
      </c>
      <c r="AJ96" s="4">
        <v>4</v>
      </c>
      <c r="AK96" s="4">
        <v>52.49</v>
      </c>
      <c r="AL96" s="60"/>
      <c r="AM96"/>
      <c r="AN96" s="59">
        <v>11.022900000000002</v>
      </c>
      <c r="AP96" s="8" t="s">
        <v>166</v>
      </c>
      <c r="AQ96" s="8" t="s">
        <v>166</v>
      </c>
      <c r="AR9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0.17153633789145828</v>
      </c>
      <c r="AS9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1.1923868994015055E-2</v>
      </c>
      <c r="AT9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0.02</v>
      </c>
      <c r="AU9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9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96" s="19" t="str">
        <f>IFERROR(Table1[[#This Row],[* Practice Efficiency]]*Table1[[#This Row],[* Load Before Treatment (kg/yr)]],"")</f>
        <v/>
      </c>
      <c r="AX96" s="100">
        <f>Table1[[#This Row],[Manually entered practice effiency ]]*Table1[[#This Row],[* Load Before Treatment (kg/yr)]]</f>
        <v>0</v>
      </c>
      <c r="AY96" s="43" t="s">
        <v>121</v>
      </c>
      <c r="BA96" s="101">
        <v>1</v>
      </c>
      <c r="BB9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96" s="44"/>
      <c r="BD96" s="44"/>
      <c r="BJ96" s="43"/>
      <c r="BK96" s="45"/>
      <c r="BL96" s="45"/>
      <c r="BM9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9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9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9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9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96" s="19" t="str">
        <f>IFERROR(Table1[[#This Row],[* Prior Practice Efficiency]]*Table1[[#This Row],[* Prior Load Before Treatment (kg/year)]],"")</f>
        <v/>
      </c>
      <c r="BT96" s="19" t="s">
        <v>186</v>
      </c>
    </row>
    <row r="97" spans="1:72">
      <c r="A97" s="43" t="s">
        <v>187</v>
      </c>
      <c r="B97" s="43" t="s">
        <v>175</v>
      </c>
      <c r="C97" s="43" t="s">
        <v>109</v>
      </c>
      <c r="D97" s="43" t="s">
        <v>110</v>
      </c>
      <c r="G97" s="44">
        <v>0.03</v>
      </c>
      <c r="H97" s="44">
        <v>0</v>
      </c>
      <c r="J97" s="43" t="s">
        <v>176</v>
      </c>
      <c r="K97" s="66" t="s">
        <v>157</v>
      </c>
      <c r="N97" s="48"/>
      <c r="O97" s="43" t="s">
        <v>113</v>
      </c>
      <c r="Q97" s="43">
        <v>2011</v>
      </c>
      <c r="U97" s="43" t="s">
        <v>177</v>
      </c>
      <c r="V97" s="43" t="str">
        <f>IFERROR(VLOOKUP(Table1[[#This Row],[LC TMDL Drainage Area]],Dropdowns!$P$3:$Q$23,2,FALSE),"")</f>
        <v>Otter Creek</v>
      </c>
      <c r="W97" s="43" t="s">
        <v>115</v>
      </c>
      <c r="X97" s="43" t="s">
        <v>124</v>
      </c>
      <c r="Y97" s="43">
        <v>0.03</v>
      </c>
      <c r="Z97" s="43" t="s">
        <v>136</v>
      </c>
      <c r="AA97" s="43" t="s">
        <v>118</v>
      </c>
      <c r="AF97" s="43">
        <v>0.45</v>
      </c>
      <c r="AG97" s="43" t="s">
        <v>119</v>
      </c>
      <c r="AH97" s="4">
        <v>4</v>
      </c>
      <c r="AI97" s="4">
        <v>0.06</v>
      </c>
      <c r="AJ97" s="4">
        <v>4</v>
      </c>
      <c r="AK97" s="4">
        <v>65.61</v>
      </c>
      <c r="AL97" s="60"/>
      <c r="AM97"/>
      <c r="AN97" s="59">
        <v>16.691184</v>
      </c>
      <c r="AP97" s="8" t="s">
        <v>166</v>
      </c>
      <c r="AQ97" s="8" t="s">
        <v>166</v>
      </c>
      <c r="AR9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2.0584360546974993E-2</v>
      </c>
      <c r="AS9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0.101841915604441</v>
      </c>
      <c r="AT9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9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1.8419156044409968E-2</v>
      </c>
      <c r="AV9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5.5257468133229908E-4</v>
      </c>
      <c r="AW97" s="19">
        <f>IFERROR(Table1[[#This Row],[* Practice Efficiency]]*Table1[[#This Row],[* Load Before Treatment (kg/yr)]],"")</f>
        <v>1.1374396469673857E-5</v>
      </c>
      <c r="AX97" s="100">
        <f>Table1[[#This Row],[Manually entered practice effiency ]]*Table1[[#This Row],[* Load Before Treatment (kg/yr)]]</f>
        <v>0</v>
      </c>
      <c r="AY97" s="43" t="s">
        <v>121</v>
      </c>
      <c r="BA97" s="101">
        <v>1</v>
      </c>
      <c r="BB9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1.1374396469673857E-5</v>
      </c>
      <c r="BC97" s="44"/>
      <c r="BD97" s="44"/>
      <c r="BJ97" s="43"/>
      <c r="BK97" s="45"/>
      <c r="BL97" s="45"/>
      <c r="BM9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9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9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9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9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97" s="19" t="str">
        <f>IFERROR(Table1[[#This Row],[* Prior Practice Efficiency]]*Table1[[#This Row],[* Prior Load Before Treatment (kg/year)]],"")</f>
        <v/>
      </c>
      <c r="BT97" s="19" t="s">
        <v>188</v>
      </c>
    </row>
    <row r="98" spans="1:72">
      <c r="A98" s="43" t="s">
        <v>189</v>
      </c>
      <c r="B98" s="43" t="s">
        <v>175</v>
      </c>
      <c r="C98" s="43" t="s">
        <v>109</v>
      </c>
      <c r="D98" s="43" t="s">
        <v>110</v>
      </c>
      <c r="G98" s="44">
        <v>0.03</v>
      </c>
      <c r="H98" s="44">
        <v>0</v>
      </c>
      <c r="J98" s="43" t="s">
        <v>176</v>
      </c>
      <c r="K98" s="66" t="s">
        <v>157</v>
      </c>
      <c r="N98" s="48"/>
      <c r="O98" s="43" t="s">
        <v>113</v>
      </c>
      <c r="Q98" s="43">
        <v>2011</v>
      </c>
      <c r="U98" s="43" t="s">
        <v>177</v>
      </c>
      <c r="V98" s="43" t="str">
        <f>IFERROR(VLOOKUP(Table1[[#This Row],[LC TMDL Drainage Area]],Dropdowns!$P$3:$Q$23,2,FALSE),"")</f>
        <v>Otter Creek</v>
      </c>
      <c r="W98" s="43" t="s">
        <v>115</v>
      </c>
      <c r="X98" s="43" t="s">
        <v>124</v>
      </c>
      <c r="Y98" s="43">
        <v>0.03</v>
      </c>
      <c r="Z98" s="43" t="s">
        <v>136</v>
      </c>
      <c r="AA98" s="43" t="s">
        <v>118</v>
      </c>
      <c r="AF98" s="43">
        <v>0.45</v>
      </c>
      <c r="AG98" s="43" t="s">
        <v>119</v>
      </c>
      <c r="AH98" s="5">
        <v>4</v>
      </c>
      <c r="AI98" s="5">
        <v>0.13</v>
      </c>
      <c r="AJ98" s="4">
        <v>4</v>
      </c>
      <c r="AK98" s="4">
        <v>111.55</v>
      </c>
      <c r="AL98" s="60"/>
      <c r="AM98"/>
      <c r="AN98" s="59">
        <v>65.546779999999998</v>
      </c>
      <c r="AP98" s="8" t="s">
        <v>166</v>
      </c>
      <c r="AQ98" s="8" t="s">
        <v>166</v>
      </c>
      <c r="AR9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2.0584360546974993E-2</v>
      </c>
      <c r="AS9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0.27257162640690896</v>
      </c>
      <c r="AT9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9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0.36285813203454476</v>
      </c>
      <c r="AV9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3.4514325281381791E-2</v>
      </c>
      <c r="AW98" s="19">
        <f>IFERROR(Table1[[#This Row],[* Practice Efficiency]]*Table1[[#This Row],[* Load Before Treatment (kg/yr)]],"")</f>
        <v>7.1045531562753694E-4</v>
      </c>
      <c r="AX98" s="100">
        <f>Table1[[#This Row],[Manually entered practice effiency ]]*Table1[[#This Row],[* Load Before Treatment (kg/yr)]]</f>
        <v>0</v>
      </c>
      <c r="AY98" s="43" t="s">
        <v>121</v>
      </c>
      <c r="BA98" s="101">
        <v>1</v>
      </c>
      <c r="BB9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7.1045531562753694E-4</v>
      </c>
      <c r="BC98" s="44"/>
      <c r="BD98" s="44"/>
      <c r="BJ98" s="43"/>
      <c r="BK98" s="45"/>
      <c r="BL98" s="45"/>
      <c r="BM9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9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9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9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9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98" s="19" t="str">
        <f>IFERROR(Table1[[#This Row],[* Prior Practice Efficiency]]*Table1[[#This Row],[* Prior Load Before Treatment (kg/year)]],"")</f>
        <v/>
      </c>
      <c r="BT98" s="19" t="s">
        <v>190</v>
      </c>
    </row>
    <row r="99" spans="1:72">
      <c r="B99" s="43" t="s">
        <v>653</v>
      </c>
      <c r="C99" s="43" t="s">
        <v>109</v>
      </c>
      <c r="D99" s="43" t="s">
        <v>110</v>
      </c>
      <c r="E99" s="47">
        <v>44.452496127336417</v>
      </c>
      <c r="F99" s="47">
        <v>-73.179680653576966</v>
      </c>
      <c r="G99" s="44">
        <v>0</v>
      </c>
      <c r="H99" s="44">
        <v>0</v>
      </c>
      <c r="I99" s="44">
        <v>9.3633150000000001</v>
      </c>
      <c r="J99" s="43" t="s">
        <v>162</v>
      </c>
      <c r="K99" s="203" t="s">
        <v>162</v>
      </c>
      <c r="N99" s="48"/>
      <c r="O99" s="43" t="s">
        <v>589</v>
      </c>
      <c r="P99" s="43" t="s">
        <v>654</v>
      </c>
      <c r="T99" s="43" t="s">
        <v>645</v>
      </c>
      <c r="U99" s="43" t="s">
        <v>499</v>
      </c>
      <c r="V99" s="43" t="s">
        <v>500</v>
      </c>
      <c r="W99" s="43" t="s">
        <v>115</v>
      </c>
      <c r="X99" s="43" t="s">
        <v>528</v>
      </c>
      <c r="Y99" s="43">
        <v>5.5722849999999999</v>
      </c>
      <c r="Z99" s="43" t="s">
        <v>146</v>
      </c>
      <c r="AA99" s="43" t="s">
        <v>118</v>
      </c>
      <c r="AF99" s="43">
        <v>3.7910300000000001</v>
      </c>
      <c r="AG99" s="43" t="s">
        <v>119</v>
      </c>
      <c r="AH99" s="203"/>
      <c r="AI99" s="203"/>
      <c r="AJ99" s="203"/>
      <c r="AK99" s="203"/>
      <c r="AL99" s="204"/>
      <c r="AN99" s="50">
        <v>15158.88</v>
      </c>
      <c r="AP99" s="205"/>
      <c r="AQ99" s="205"/>
      <c r="AR9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5.455387801104548</v>
      </c>
      <c r="AS9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0.66438331669647832</v>
      </c>
      <c r="AT9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2.0000000000000004E-2</v>
      </c>
      <c r="AU9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0.32191658348239161</v>
      </c>
      <c r="AV9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8.643833166964783E-2</v>
      </c>
      <c r="AW99" s="19">
        <f>IFERROR(Table1[[#This Row],[* Practice Efficiency]]*Table1[[#This Row],[* Load Before Treatment (kg/yr)]],"")</f>
        <v>0.4715546201384257</v>
      </c>
      <c r="AX99" s="100">
        <v>0</v>
      </c>
      <c r="AY99" s="44" t="s">
        <v>121</v>
      </c>
      <c r="BA99" s="101">
        <v>1</v>
      </c>
      <c r="BB9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0.4715546201384257</v>
      </c>
      <c r="BC99" s="44"/>
      <c r="BD99" s="44"/>
      <c r="BJ99" s="43"/>
      <c r="BK99" s="45"/>
      <c r="BL99" s="45"/>
      <c r="BM9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9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9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9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9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99" s="19" t="str">
        <f>IFERROR(Table1[[#This Row],[* Prior Practice Efficiency]]*Table1[[#This Row],[* Prior Load Before Treatment (kg/year)]],"")</f>
        <v/>
      </c>
      <c r="BT99" s="19"/>
    </row>
    <row r="100" spans="1:72">
      <c r="B100" s="43" t="s">
        <v>481</v>
      </c>
      <c r="C100" s="43" t="s">
        <v>109</v>
      </c>
      <c r="D100" s="43" t="s">
        <v>110</v>
      </c>
      <c r="I100" s="44">
        <v>2.3199999999999998</v>
      </c>
      <c r="J100" s="43" t="s">
        <v>482</v>
      </c>
      <c r="K100" s="66" t="s">
        <v>112</v>
      </c>
      <c r="N100" s="48"/>
      <c r="O100" s="43" t="s">
        <v>113</v>
      </c>
      <c r="Q100" s="43">
        <v>2019</v>
      </c>
      <c r="U100" s="43" t="s">
        <v>134</v>
      </c>
      <c r="V100" s="43" t="str">
        <f>IFERROR(VLOOKUP(Table1[[#This Row],[LC TMDL Drainage Area]],Dropdowns!$P$3:$Q$23,2,FALSE),"")</f>
        <v>Main Lake</v>
      </c>
      <c r="W100" s="43" t="s">
        <v>115</v>
      </c>
      <c r="X100" s="43" t="s">
        <v>124</v>
      </c>
      <c r="Y100" s="43">
        <v>0.33</v>
      </c>
      <c r="Z100" s="43" t="s">
        <v>146</v>
      </c>
      <c r="AA100" s="43" t="s">
        <v>118</v>
      </c>
      <c r="AB100" s="93"/>
      <c r="AC100" s="93"/>
      <c r="AD100" s="93"/>
      <c r="AE100" s="93"/>
      <c r="AF100" s="43">
        <v>2.08</v>
      </c>
      <c r="AG100" s="43" t="s">
        <v>119</v>
      </c>
      <c r="AH100" s="4">
        <v>3</v>
      </c>
      <c r="AI100" s="4">
        <v>0.23</v>
      </c>
      <c r="AJ100" s="4">
        <v>2</v>
      </c>
      <c r="AK100" s="4">
        <v>103</v>
      </c>
      <c r="AL100" s="60"/>
      <c r="AM100"/>
      <c r="AN100" s="59">
        <f>(Table1[[#This Row],[Bottom Width (ft)]]+Table1[[#This Row],[Average Depth at Peak Storage (ft)]]*Table1[[#This Row],[Side Slope (ft/ft)]])*Table1[[#This Row],[Average Depth at Peak Storage (ft)]]*Table1[[#This Row],[Length Provided (ft)]]</f>
        <v>81.967400000000012</v>
      </c>
      <c r="AP100" s="8" t="s">
        <v>120</v>
      </c>
      <c r="AQ100" s="8" t="s">
        <v>120</v>
      </c>
      <c r="AR10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0.33594266667420419</v>
      </c>
      <c r="AS10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6.003164160293082E-2</v>
      </c>
      <c r="AT10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0.02</v>
      </c>
      <c r="AU10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0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00" s="19" t="str">
        <f>IFERROR(Table1[[#This Row],[* Practice Efficiency]]*Table1[[#This Row],[* Load Before Treatment (kg/yr)]],"")</f>
        <v/>
      </c>
      <c r="AX100" s="100">
        <f>Table1[[#This Row],[Manually entered practice effiency ]]*Table1[[#This Row],[* Load Before Treatment (kg/yr)]]</f>
        <v>0</v>
      </c>
      <c r="AY100" s="43" t="s">
        <v>121</v>
      </c>
      <c r="BA100" s="101">
        <v>1</v>
      </c>
      <c r="BB10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100" s="44"/>
      <c r="BD100" s="44"/>
      <c r="BJ100" s="43"/>
      <c r="BK100" s="45"/>
      <c r="BL100" s="45"/>
      <c r="BM10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0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0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0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0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00" s="19" t="str">
        <f>IFERROR(Table1[[#This Row],[* Prior Practice Efficiency]]*Table1[[#This Row],[* Prior Load Before Treatment (kg/year)]],"")</f>
        <v/>
      </c>
      <c r="BT100" s="19"/>
    </row>
    <row r="101" spans="1:72">
      <c r="B101" s="43" t="s">
        <v>481</v>
      </c>
      <c r="C101" s="43" t="s">
        <v>109</v>
      </c>
      <c r="D101" s="43" t="s">
        <v>110</v>
      </c>
      <c r="J101" s="43" t="s">
        <v>482</v>
      </c>
      <c r="K101" s="66" t="s">
        <v>112</v>
      </c>
      <c r="N101" s="48"/>
      <c r="O101" s="43" t="s">
        <v>113</v>
      </c>
      <c r="Q101" s="43">
        <v>2019</v>
      </c>
      <c r="U101" s="43" t="s">
        <v>134</v>
      </c>
      <c r="V101" s="43" t="str">
        <f>IFERROR(VLOOKUP(Table1[[#This Row],[LC TMDL Drainage Area]],Dropdowns!$P$3:$Q$23,2,FALSE),"")</f>
        <v>Main Lake</v>
      </c>
      <c r="W101" s="43" t="s">
        <v>115</v>
      </c>
      <c r="X101" s="43" t="s">
        <v>170</v>
      </c>
      <c r="Y101" s="43">
        <v>0.33</v>
      </c>
      <c r="Z101" s="43" t="s">
        <v>146</v>
      </c>
      <c r="AA101" s="43" t="s">
        <v>118</v>
      </c>
      <c r="AB101" s="93"/>
      <c r="AC101" s="93"/>
      <c r="AD101" s="93"/>
      <c r="AE101" s="93"/>
      <c r="AF101" s="43">
        <v>1.0000000000000001E-5</v>
      </c>
      <c r="AG101" s="43" t="s">
        <v>119</v>
      </c>
      <c r="AH101" s="5"/>
      <c r="AI101" s="5"/>
      <c r="AJ101" s="4"/>
      <c r="AK101" s="4"/>
      <c r="AL101" s="60"/>
      <c r="AM101"/>
      <c r="AN101" s="59">
        <v>777.6</v>
      </c>
      <c r="AO101" s="43" t="s">
        <v>209</v>
      </c>
      <c r="AP101" s="8" t="s">
        <v>120</v>
      </c>
      <c r="AQ101" s="8" t="s">
        <v>120</v>
      </c>
      <c r="AR10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0.33594266667420419</v>
      </c>
      <c r="AS10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0.64913236953054665</v>
      </c>
      <c r="AT10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4.9999999999999933E-2</v>
      </c>
      <c r="AU10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0.24566184765273327</v>
      </c>
      <c r="AV10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0.82228309238263675</v>
      </c>
      <c r="AW101" s="19">
        <f>IFERROR(Table1[[#This Row],[* Practice Efficiency]]*Table1[[#This Row],[* Load Before Treatment (kg/yr)]],"")</f>
        <v>0.27623997481613399</v>
      </c>
      <c r="AX101" s="100">
        <f>Table1[[#This Row],[Manually entered practice effiency ]]*Table1[[#This Row],[* Load Before Treatment (kg/yr)]]</f>
        <v>0</v>
      </c>
      <c r="AY101" s="43" t="s">
        <v>121</v>
      </c>
      <c r="BA101" s="101">
        <v>1</v>
      </c>
      <c r="BB10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0.27623997481613399</v>
      </c>
      <c r="BC101" s="44"/>
      <c r="BD101" s="44"/>
      <c r="BJ101" s="43"/>
      <c r="BK101" s="45"/>
      <c r="BL101" s="45"/>
      <c r="BM10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0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0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0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0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01" s="19" t="str">
        <f>IFERROR(Table1[[#This Row],[* Prior Practice Efficiency]]*Table1[[#This Row],[* Prior Load Before Treatment (kg/year)]],"")</f>
        <v/>
      </c>
      <c r="BT101" s="19"/>
    </row>
    <row r="102" spans="1:72">
      <c r="B102" s="43" t="s">
        <v>481</v>
      </c>
      <c r="C102" s="43" t="s">
        <v>109</v>
      </c>
      <c r="D102" s="43" t="s">
        <v>110</v>
      </c>
      <c r="J102" s="43" t="s">
        <v>482</v>
      </c>
      <c r="K102" s="66" t="s">
        <v>112</v>
      </c>
      <c r="N102" s="48"/>
      <c r="O102" s="43" t="s">
        <v>113</v>
      </c>
      <c r="Q102" s="43">
        <v>2019</v>
      </c>
      <c r="U102" s="43" t="s">
        <v>134</v>
      </c>
      <c r="V102" s="43" t="str">
        <f>IFERROR(VLOOKUP(Table1[[#This Row],[LC TMDL Drainage Area]],Dropdowns!$P$3:$Q$23,2,FALSE),"")</f>
        <v>Main Lake</v>
      </c>
      <c r="W102" s="43" t="s">
        <v>115</v>
      </c>
      <c r="X102" s="43" t="s">
        <v>483</v>
      </c>
      <c r="Y102" s="43">
        <v>0.33</v>
      </c>
      <c r="Z102" s="43" t="s">
        <v>146</v>
      </c>
      <c r="AA102" s="43" t="s">
        <v>118</v>
      </c>
      <c r="AF102" s="43">
        <v>2.008</v>
      </c>
      <c r="AG102" s="43" t="s">
        <v>119</v>
      </c>
      <c r="AH102" s="5"/>
      <c r="AI102" s="5"/>
      <c r="AJ102" s="4"/>
      <c r="AK102" s="4"/>
      <c r="AL102" s="60"/>
      <c r="AM102"/>
      <c r="AN102" s="59">
        <v>1166</v>
      </c>
      <c r="AP102" s="8" t="s">
        <v>120</v>
      </c>
      <c r="AQ102" s="8" t="s">
        <v>120</v>
      </c>
      <c r="AR10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0.33594266667420419</v>
      </c>
      <c r="AS10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0.51403551007442039</v>
      </c>
      <c r="AT10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7.0000000000000007E-2</v>
      </c>
      <c r="AU10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0.57017755037210194</v>
      </c>
      <c r="AV10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0.28991242852604715</v>
      </c>
      <c r="AW102" s="19">
        <f>IFERROR(Table1[[#This Row],[* Practice Efficiency]]*Table1[[#This Row],[* Load Before Treatment (kg/yr)]],"")</f>
        <v>9.73939543410349E-2</v>
      </c>
      <c r="AX102" s="100">
        <f>Table1[[#This Row],[Manually entered practice effiency ]]*Table1[[#This Row],[* Load Before Treatment (kg/yr)]]</f>
        <v>0</v>
      </c>
      <c r="AY102" s="43" t="s">
        <v>121</v>
      </c>
      <c r="BA102" s="101">
        <v>1</v>
      </c>
      <c r="BB10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9.73939543410349E-2</v>
      </c>
      <c r="BC102" s="44"/>
      <c r="BD102" s="44"/>
      <c r="BJ102" s="43"/>
      <c r="BK102" s="45"/>
      <c r="BL102" s="45"/>
      <c r="BM10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0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0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0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0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02" s="19" t="str">
        <f>IFERROR(Table1[[#This Row],[* Prior Practice Efficiency]]*Table1[[#This Row],[* Prior Load Before Treatment (kg/year)]],"")</f>
        <v/>
      </c>
      <c r="BT102" s="19"/>
    </row>
    <row r="103" spans="1:72">
      <c r="A103" s="43" t="s">
        <v>191</v>
      </c>
      <c r="B103" s="43" t="s">
        <v>192</v>
      </c>
      <c r="C103" s="43" t="s">
        <v>109</v>
      </c>
      <c r="D103" s="43" t="s">
        <v>110</v>
      </c>
      <c r="G103" s="44">
        <v>0.72</v>
      </c>
      <c r="H103" s="44">
        <v>0</v>
      </c>
      <c r="I103" s="44">
        <v>0.28000000000000003</v>
      </c>
      <c r="J103" s="43" t="s">
        <v>193</v>
      </c>
      <c r="K103" s="66" t="s">
        <v>112</v>
      </c>
      <c r="N103" s="48"/>
      <c r="O103" s="43" t="s">
        <v>113</v>
      </c>
      <c r="Q103" s="43">
        <v>2011</v>
      </c>
      <c r="U103" s="43" t="s">
        <v>134</v>
      </c>
      <c r="V103" s="43" t="str">
        <f>IFERROR(VLOOKUP(Table1[[#This Row],[LC TMDL Drainage Area]],Dropdowns!$P$3:$Q$23,2,FALSE),"")</f>
        <v>Main Lake</v>
      </c>
      <c r="W103" s="43" t="s">
        <v>115</v>
      </c>
      <c r="X103" s="43" t="s">
        <v>124</v>
      </c>
      <c r="Y103" s="43">
        <v>0.20100000000000001</v>
      </c>
      <c r="Z103" s="43" t="s">
        <v>146</v>
      </c>
      <c r="AA103" s="43" t="s">
        <v>118</v>
      </c>
      <c r="AF103" s="43">
        <v>0.08</v>
      </c>
      <c r="AG103" s="43" t="s">
        <v>119</v>
      </c>
      <c r="AH103" s="4">
        <v>8</v>
      </c>
      <c r="AI103" s="4">
        <v>0.24</v>
      </c>
      <c r="AJ103" s="4">
        <v>3</v>
      </c>
      <c r="AK103" s="4">
        <v>164</v>
      </c>
      <c r="AL103" s="60">
        <v>149</v>
      </c>
      <c r="AM103"/>
      <c r="AN103" s="59">
        <v>343.2192</v>
      </c>
      <c r="AP103" s="8" t="s">
        <v>155</v>
      </c>
      <c r="AQ103" s="8" t="s">
        <v>155</v>
      </c>
      <c r="AR10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0.2046196242470153</v>
      </c>
      <c r="AS10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0.44749979423439179</v>
      </c>
      <c r="AT10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10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0.23749897117195889</v>
      </c>
      <c r="AV10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5.9499958846878365E-2</v>
      </c>
      <c r="AW103" s="19">
        <f>IFERROR(Table1[[#This Row],[* Practice Efficiency]]*Table1[[#This Row],[* Load Before Treatment (kg/yr)]],"")</f>
        <v>1.2174859221961125E-2</v>
      </c>
      <c r="AX103" s="100">
        <f>Table1[[#This Row],[Manually entered practice effiency ]]*Table1[[#This Row],[* Load Before Treatment (kg/yr)]]</f>
        <v>0</v>
      </c>
      <c r="AY103" s="43" t="s">
        <v>121</v>
      </c>
      <c r="BA103" s="101">
        <v>1</v>
      </c>
      <c r="BB10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1.2174859221961125E-2</v>
      </c>
      <c r="BC103" s="44"/>
      <c r="BD103" s="44"/>
      <c r="BJ103" s="43"/>
      <c r="BK103" s="45"/>
      <c r="BL103" s="45"/>
      <c r="BM10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0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0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0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0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03" s="19" t="str">
        <f>IFERROR(Table1[[#This Row],[* Prior Practice Efficiency]]*Table1[[#This Row],[* Prior Load Before Treatment (kg/year)]],"")</f>
        <v/>
      </c>
      <c r="BT103" s="19" t="s">
        <v>194</v>
      </c>
    </row>
    <row r="104" spans="1:72">
      <c r="A104" s="43" t="s">
        <v>195</v>
      </c>
      <c r="B104" s="43" t="s">
        <v>192</v>
      </c>
      <c r="C104" s="43" t="s">
        <v>109</v>
      </c>
      <c r="D104" s="43" t="s">
        <v>110</v>
      </c>
      <c r="G104" s="44">
        <v>0.72</v>
      </c>
      <c r="H104" s="44">
        <v>0</v>
      </c>
      <c r="I104" s="44">
        <v>0.31</v>
      </c>
      <c r="J104" s="43" t="s">
        <v>193</v>
      </c>
      <c r="K104" s="66" t="s">
        <v>112</v>
      </c>
      <c r="N104" s="48"/>
      <c r="O104" s="43" t="s">
        <v>113</v>
      </c>
      <c r="Q104" s="43">
        <v>2011</v>
      </c>
      <c r="U104" s="43" t="s">
        <v>134</v>
      </c>
      <c r="V104" s="43" t="str">
        <f>IFERROR(VLOOKUP(Table1[[#This Row],[LC TMDL Drainage Area]],Dropdowns!$P$3:$Q$23,2,FALSE),"")</f>
        <v>Main Lake</v>
      </c>
      <c r="W104" s="43" t="s">
        <v>115</v>
      </c>
      <c r="X104" s="43" t="s">
        <v>124</v>
      </c>
      <c r="Y104" s="43">
        <v>0.16</v>
      </c>
      <c r="Z104" s="43" t="s">
        <v>146</v>
      </c>
      <c r="AA104" s="43" t="s">
        <v>118</v>
      </c>
      <c r="AF104" s="43">
        <v>0.15</v>
      </c>
      <c r="AG104" s="43" t="s">
        <v>119</v>
      </c>
      <c r="AH104" s="4">
        <v>6</v>
      </c>
      <c r="AI104" s="4">
        <v>0.36</v>
      </c>
      <c r="AJ104" s="4">
        <v>4</v>
      </c>
      <c r="AK104" s="4">
        <v>151</v>
      </c>
      <c r="AL104" s="60">
        <v>118</v>
      </c>
      <c r="AM104"/>
      <c r="AN104" s="59">
        <v>404.4384</v>
      </c>
      <c r="AP104" s="8" t="s">
        <v>196</v>
      </c>
      <c r="AQ104" s="8" t="s">
        <v>196</v>
      </c>
      <c r="AR10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0.16288129293294748</v>
      </c>
      <c r="AS10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0.6003525347791201</v>
      </c>
      <c r="AT10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10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1.7626738956005854E-3</v>
      </c>
      <c r="AV10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9.0070506955824026E-2</v>
      </c>
      <c r="AW104" s="19">
        <f>IFERROR(Table1[[#This Row],[* Practice Efficiency]]*Table1[[#This Row],[* Load Before Treatment (kg/yr)]],"")</f>
        <v>1.4670800628090657E-2</v>
      </c>
      <c r="AX104" s="100">
        <f>Table1[[#This Row],[Manually entered practice effiency ]]*Table1[[#This Row],[* Load Before Treatment (kg/yr)]]</f>
        <v>0</v>
      </c>
      <c r="AY104" s="43" t="s">
        <v>121</v>
      </c>
      <c r="BA104" s="101">
        <v>1</v>
      </c>
      <c r="BB10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1.4670800628090657E-2</v>
      </c>
      <c r="BC104" s="44"/>
      <c r="BD104" s="44"/>
      <c r="BJ104" s="43"/>
      <c r="BK104" s="45"/>
      <c r="BL104" s="45"/>
      <c r="BM10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0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0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0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0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04" s="19" t="str">
        <f>IFERROR(Table1[[#This Row],[* Prior Practice Efficiency]]*Table1[[#This Row],[* Prior Load Before Treatment (kg/year)]],"")</f>
        <v/>
      </c>
      <c r="BT104" s="19" t="s">
        <v>197</v>
      </c>
    </row>
    <row r="105" spans="1:72">
      <c r="A105" s="43" t="s">
        <v>198</v>
      </c>
      <c r="B105" s="43" t="s">
        <v>192</v>
      </c>
      <c r="C105" s="43" t="s">
        <v>109</v>
      </c>
      <c r="D105" s="43" t="s">
        <v>110</v>
      </c>
      <c r="G105" s="44">
        <v>0.72</v>
      </c>
      <c r="H105" s="44">
        <v>0</v>
      </c>
      <c r="I105" s="44">
        <v>0.23</v>
      </c>
      <c r="J105" s="43" t="s">
        <v>193</v>
      </c>
      <c r="K105" s="66" t="s">
        <v>112</v>
      </c>
      <c r="N105" s="48"/>
      <c r="O105" s="43" t="s">
        <v>113</v>
      </c>
      <c r="Q105" s="43">
        <v>2011</v>
      </c>
      <c r="U105" s="43" t="s">
        <v>134</v>
      </c>
      <c r="V105" s="43" t="str">
        <f>IFERROR(VLOOKUP(Table1[[#This Row],[LC TMDL Drainage Area]],Dropdowns!$P$3:$Q$23,2,FALSE),"")</f>
        <v>Main Lake</v>
      </c>
      <c r="W105" s="43" t="s">
        <v>115</v>
      </c>
      <c r="X105" s="43" t="s">
        <v>124</v>
      </c>
      <c r="Y105" s="43">
        <v>0.12</v>
      </c>
      <c r="Z105" s="43" t="s">
        <v>146</v>
      </c>
      <c r="AA105" s="43" t="s">
        <v>118</v>
      </c>
      <c r="AB105" s="93"/>
      <c r="AC105" s="93"/>
      <c r="AD105" s="93"/>
      <c r="AE105" s="93"/>
      <c r="AF105" s="43">
        <v>0.11</v>
      </c>
      <c r="AG105" s="43" t="s">
        <v>119</v>
      </c>
      <c r="AH105" s="4">
        <v>8</v>
      </c>
      <c r="AI105" s="4">
        <v>0.12</v>
      </c>
      <c r="AJ105" s="4">
        <v>3</v>
      </c>
      <c r="AK105" s="4">
        <v>102</v>
      </c>
      <c r="AL105" s="60">
        <v>98</v>
      </c>
      <c r="AM105"/>
      <c r="AN105" s="59">
        <f>(Table1[[#This Row],[Bottom Width (ft)]]+Table1[[#This Row],[Average Depth at Peak Storage (ft)]]*Table1[[#This Row],[Side Slope (ft/ft)]])*Table1[[#This Row],[Average Depth at Peak Storage (ft)]]*Table1[[#This Row],[Length Provided (ft)]]</f>
        <v>102.32639999999999</v>
      </c>
      <c r="AP105" s="8" t="s">
        <v>196</v>
      </c>
      <c r="AQ105" s="8" t="s">
        <v>196</v>
      </c>
      <c r="AR10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0.1221609696997106</v>
      </c>
      <c r="AS10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0.22141221326679753</v>
      </c>
      <c r="AT10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10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0.10706106633398757</v>
      </c>
      <c r="AV10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2.4282442653359503E-2</v>
      </c>
      <c r="AW105" s="19">
        <f>IFERROR(Table1[[#This Row],[* Practice Efficiency]]*Table1[[#This Row],[* Load Before Treatment (kg/yr)]],"")</f>
        <v>2.9663667412120104E-3</v>
      </c>
      <c r="AX105" s="100">
        <f>Table1[[#This Row],[Manually entered practice effiency ]]*Table1[[#This Row],[* Load Before Treatment (kg/yr)]]</f>
        <v>0</v>
      </c>
      <c r="AY105" s="43" t="s">
        <v>121</v>
      </c>
      <c r="BA105" s="101">
        <v>1</v>
      </c>
      <c r="BB10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2.9663667412120104E-3</v>
      </c>
      <c r="BC105" s="44"/>
      <c r="BD105" s="44"/>
      <c r="BJ105" s="43"/>
      <c r="BK105" s="45"/>
      <c r="BL105" s="45"/>
      <c r="BM10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0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0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0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0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05" s="19" t="str">
        <f>IFERROR(Table1[[#This Row],[* Prior Practice Efficiency]]*Table1[[#This Row],[* Prior Load Before Treatment (kg/year)]],"")</f>
        <v/>
      </c>
      <c r="BT105" s="19" t="s">
        <v>199</v>
      </c>
    </row>
    <row r="106" spans="1:72">
      <c r="A106" s="43" t="s">
        <v>200</v>
      </c>
      <c r="B106" s="43" t="s">
        <v>192</v>
      </c>
      <c r="C106" s="43" t="s">
        <v>109</v>
      </c>
      <c r="D106" s="43" t="s">
        <v>110</v>
      </c>
      <c r="G106" s="44">
        <v>0.72</v>
      </c>
      <c r="H106" s="44">
        <v>0</v>
      </c>
      <c r="I106" s="44">
        <v>0.31</v>
      </c>
      <c r="J106" s="43" t="s">
        <v>193</v>
      </c>
      <c r="K106" s="66" t="s">
        <v>112</v>
      </c>
      <c r="N106" s="48"/>
      <c r="O106" s="43" t="s">
        <v>113</v>
      </c>
      <c r="Q106" s="43">
        <v>2011</v>
      </c>
      <c r="U106" s="43" t="s">
        <v>134</v>
      </c>
      <c r="V106" s="43" t="str">
        <f>IFERROR(VLOOKUP(Table1[[#This Row],[LC TMDL Drainage Area]],Dropdowns!$P$3:$Q$23,2,FALSE),"")</f>
        <v>Main Lake</v>
      </c>
      <c r="W106" s="43" t="s">
        <v>115</v>
      </c>
      <c r="X106" s="43" t="s">
        <v>201</v>
      </c>
      <c r="Y106" s="43">
        <v>0.24</v>
      </c>
      <c r="Z106" s="43" t="s">
        <v>146</v>
      </c>
      <c r="AA106" s="43" t="s">
        <v>118</v>
      </c>
      <c r="AB106" s="93"/>
      <c r="AC106" s="93"/>
      <c r="AD106" s="93"/>
      <c r="AE106" s="93"/>
      <c r="AF106" s="43">
        <v>7.0000000000000007E-2</v>
      </c>
      <c r="AG106" s="43" t="s">
        <v>119</v>
      </c>
      <c r="AH106" s="4">
        <v>8</v>
      </c>
      <c r="AI106" s="4">
        <v>1</v>
      </c>
      <c r="AJ106" s="4">
        <v>3</v>
      </c>
      <c r="AK106" s="4">
        <v>67</v>
      </c>
      <c r="AL106" s="60"/>
      <c r="AM106"/>
      <c r="AN106" s="50">
        <v>1165</v>
      </c>
      <c r="AP106" s="8" t="s">
        <v>196</v>
      </c>
      <c r="AQ106" s="8" t="s">
        <v>196</v>
      </c>
      <c r="AR10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0.24432193939942121</v>
      </c>
      <c r="AS10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1.2166572286898936</v>
      </c>
      <c r="AT10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4.9999999999999933E-2</v>
      </c>
      <c r="AU10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0.43331445737978713</v>
      </c>
      <c r="AV10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0.50166572286898936</v>
      </c>
      <c r="AW106" s="19">
        <f>IFERROR(Table1[[#This Row],[* Practice Efficiency]]*Table1[[#This Row],[* Load Before Treatment (kg/yr)]],"")</f>
        <v>0.12256794234156405</v>
      </c>
      <c r="AX106" s="100">
        <f>Table1[[#This Row],[Manually entered practice effiency ]]*Table1[[#This Row],[* Load Before Treatment (kg/yr)]]</f>
        <v>0</v>
      </c>
      <c r="AY106" s="43" t="s">
        <v>121</v>
      </c>
      <c r="BA106" s="101">
        <v>1</v>
      </c>
      <c r="BB10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0.12256794234156405</v>
      </c>
      <c r="BC106" s="44"/>
      <c r="BD106" s="44"/>
      <c r="BJ106" s="43"/>
      <c r="BK106" s="45"/>
      <c r="BL106" s="45"/>
      <c r="BM10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0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0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0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0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06" s="19" t="str">
        <f>IFERROR(Table1[[#This Row],[* Prior Practice Efficiency]]*Table1[[#This Row],[* Prior Load Before Treatment (kg/year)]],"")</f>
        <v/>
      </c>
      <c r="BT106" s="19" t="s">
        <v>202</v>
      </c>
    </row>
    <row r="107" spans="1:72">
      <c r="A107" s="43" t="s">
        <v>364</v>
      </c>
      <c r="B107" s="43" t="s">
        <v>365</v>
      </c>
      <c r="C107" s="43" t="s">
        <v>109</v>
      </c>
      <c r="D107" s="43" t="s">
        <v>110</v>
      </c>
      <c r="G107" s="44">
        <v>0.08</v>
      </c>
      <c r="H107" s="44">
        <v>0.12</v>
      </c>
      <c r="I107" s="44">
        <v>4.72</v>
      </c>
      <c r="J107" s="43" t="s">
        <v>366</v>
      </c>
      <c r="K107" s="66" t="s">
        <v>129</v>
      </c>
      <c r="N107" s="48"/>
      <c r="O107" s="43" t="s">
        <v>113</v>
      </c>
      <c r="Q107" s="43">
        <v>2014</v>
      </c>
      <c r="U107" s="43" t="s">
        <v>134</v>
      </c>
      <c r="V107" s="43" t="str">
        <f>IFERROR(VLOOKUP(Table1[[#This Row],[LC TMDL Drainage Area]],Dropdowns!$P$3:$Q$23,2,FALSE),"")</f>
        <v>Main Lake</v>
      </c>
      <c r="W107" s="43" t="s">
        <v>115</v>
      </c>
      <c r="X107" s="43" t="s">
        <v>124</v>
      </c>
      <c r="Y107" s="43">
        <v>0.34</v>
      </c>
      <c r="Z107" s="43" t="s">
        <v>136</v>
      </c>
      <c r="AA107" s="43" t="s">
        <v>118</v>
      </c>
      <c r="AB107" s="93"/>
      <c r="AC107" s="93"/>
      <c r="AD107" s="93"/>
      <c r="AE107" s="93"/>
      <c r="AF107" s="43">
        <v>4.38</v>
      </c>
      <c r="AG107" s="43" t="s">
        <v>119</v>
      </c>
      <c r="AH107" s="4">
        <v>2.75</v>
      </c>
      <c r="AI107" s="4">
        <v>0.49</v>
      </c>
      <c r="AJ107" s="4">
        <v>3</v>
      </c>
      <c r="AK107" s="4">
        <v>270</v>
      </c>
      <c r="AL107" s="60">
        <v>197</v>
      </c>
      <c r="AM107"/>
      <c r="AN107" s="50">
        <v>558.30599999999993</v>
      </c>
      <c r="AP107" s="8" t="s">
        <v>155</v>
      </c>
      <c r="AQ107" s="8" t="s">
        <v>155</v>
      </c>
      <c r="AR10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0.22330535502105764</v>
      </c>
      <c r="AS10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0.23673170394461868</v>
      </c>
      <c r="AT10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10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0.18365851972309333</v>
      </c>
      <c r="AV10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2.7346340788923732E-2</v>
      </c>
      <c r="AW107" s="19">
        <f>IFERROR(Table1[[#This Row],[* Practice Efficiency]]*Table1[[#This Row],[* Load Before Treatment (kg/yr)]],"")</f>
        <v>6.1065843383974437E-3</v>
      </c>
      <c r="AX107" s="100">
        <f>Table1[[#This Row],[Manually entered practice effiency ]]*Table1[[#This Row],[* Load Before Treatment (kg/yr)]]</f>
        <v>0</v>
      </c>
      <c r="AY107" s="43" t="s">
        <v>121</v>
      </c>
      <c r="BA107" s="101">
        <v>1</v>
      </c>
      <c r="BB10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6.1065843383974437E-3</v>
      </c>
      <c r="BC107" s="44"/>
      <c r="BD107" s="44"/>
      <c r="BJ107" s="43"/>
      <c r="BK107" s="45"/>
      <c r="BL107" s="45"/>
      <c r="BM10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0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0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0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0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07" s="19" t="str">
        <f>IFERROR(Table1[[#This Row],[* Prior Practice Efficiency]]*Table1[[#This Row],[* Prior Load Before Treatment (kg/year)]],"")</f>
        <v/>
      </c>
      <c r="BT107" s="19" t="s">
        <v>215</v>
      </c>
    </row>
    <row r="108" spans="1:72">
      <c r="B108" s="43" t="s">
        <v>646</v>
      </c>
      <c r="C108" s="43" t="s">
        <v>109</v>
      </c>
      <c r="D108" s="43" t="s">
        <v>110</v>
      </c>
      <c r="E108" s="47">
        <v>44.453834713475523</v>
      </c>
      <c r="F108" s="47">
        <v>-73.183113416991915</v>
      </c>
      <c r="G108" s="44">
        <v>0</v>
      </c>
      <c r="H108" s="44">
        <v>0</v>
      </c>
      <c r="I108" s="44">
        <v>16.722501999999999</v>
      </c>
      <c r="J108" s="43" t="s">
        <v>162</v>
      </c>
      <c r="K108" s="203" t="s">
        <v>162</v>
      </c>
      <c r="N108" s="48"/>
      <c r="O108" s="43" t="s">
        <v>589</v>
      </c>
      <c r="P108" s="43" t="s">
        <v>644</v>
      </c>
      <c r="T108" s="43" t="s">
        <v>645</v>
      </c>
      <c r="U108" s="43" t="s">
        <v>499</v>
      </c>
      <c r="V108" s="43" t="s">
        <v>500</v>
      </c>
      <c r="W108" s="43" t="s">
        <v>115</v>
      </c>
      <c r="X108" s="43" t="s">
        <v>165</v>
      </c>
      <c r="Y108" s="43">
        <v>4.7749309999999996</v>
      </c>
      <c r="Z108" s="43" t="s">
        <v>146</v>
      </c>
      <c r="AA108" s="43" t="s">
        <v>118</v>
      </c>
      <c r="AF108" s="43">
        <v>11.947571</v>
      </c>
      <c r="AG108" s="43" t="s">
        <v>119</v>
      </c>
      <c r="AH108" s="203"/>
      <c r="AI108" s="203"/>
      <c r="AJ108" s="203"/>
      <c r="AK108" s="203"/>
      <c r="AL108" s="204"/>
      <c r="AN108" s="50">
        <v>24698.519999999997</v>
      </c>
      <c r="AP108" s="205"/>
      <c r="AQ108" s="205"/>
      <c r="AR10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4.6747609514796782</v>
      </c>
      <c r="AS10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0.88013918861971641</v>
      </c>
      <c r="AT10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10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0.40069594309858192</v>
      </c>
      <c r="AV10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0.52602783772394335</v>
      </c>
      <c r="AW108" s="19">
        <f>IFERROR(Table1[[#This Row],[* Practice Efficiency]]*Table1[[#This Row],[* Load Before Treatment (kg/yr)]],"")</f>
        <v>2.4590543951831791</v>
      </c>
      <c r="AX108" s="100">
        <v>0</v>
      </c>
      <c r="AY108" s="44" t="s">
        <v>121</v>
      </c>
      <c r="BA108" s="101">
        <v>1</v>
      </c>
      <c r="BB10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2.4590543951831791</v>
      </c>
      <c r="BC108" s="44"/>
      <c r="BD108" s="44"/>
      <c r="BJ108" s="43"/>
      <c r="BK108" s="45"/>
      <c r="BL108" s="45"/>
      <c r="BM10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0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0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0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0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08" s="19" t="str">
        <f>IFERROR(Table1[[#This Row],[* Prior Practice Efficiency]]*Table1[[#This Row],[* Prior Load Before Treatment (kg/year)]],"")</f>
        <v/>
      </c>
      <c r="BT108" s="19"/>
    </row>
    <row r="109" spans="1:72">
      <c r="B109" s="43" t="s">
        <v>647</v>
      </c>
      <c r="C109" s="43" t="s">
        <v>109</v>
      </c>
      <c r="D109" s="43" t="s">
        <v>110</v>
      </c>
      <c r="E109" s="47">
        <v>44.46827171945035</v>
      </c>
      <c r="F109" s="47">
        <v>-73.18502522054105</v>
      </c>
      <c r="G109" s="44">
        <v>0</v>
      </c>
      <c r="H109" s="44">
        <v>0</v>
      </c>
      <c r="I109" s="44">
        <v>4.905017</v>
      </c>
      <c r="J109" s="43" t="s">
        <v>162</v>
      </c>
      <c r="K109" s="203" t="s">
        <v>162</v>
      </c>
      <c r="N109" s="48"/>
      <c r="O109" s="43" t="s">
        <v>589</v>
      </c>
      <c r="P109" s="43" t="s">
        <v>644</v>
      </c>
      <c r="T109" s="43" t="s">
        <v>645</v>
      </c>
      <c r="U109" s="43" t="s">
        <v>499</v>
      </c>
      <c r="V109" s="43" t="s">
        <v>500</v>
      </c>
      <c r="W109" s="43" t="s">
        <v>115</v>
      </c>
      <c r="X109" s="43" t="s">
        <v>165</v>
      </c>
      <c r="Y109" s="43">
        <v>1.812014</v>
      </c>
      <c r="Z109" s="43" t="s">
        <v>146</v>
      </c>
      <c r="AA109" s="43" t="s">
        <v>118</v>
      </c>
      <c r="AF109" s="43">
        <v>3.0930029999999999</v>
      </c>
      <c r="AG109" s="43" t="s">
        <v>119</v>
      </c>
      <c r="AH109" s="203"/>
      <c r="AI109" s="203"/>
      <c r="AJ109" s="203"/>
      <c r="AK109" s="203"/>
      <c r="AL109" s="204"/>
      <c r="AN109" s="50">
        <v>12806.64</v>
      </c>
      <c r="AP109" s="205"/>
      <c r="AQ109" s="205"/>
      <c r="AR10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1.7740009836235326</v>
      </c>
      <c r="AS10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1.2281041877741838</v>
      </c>
      <c r="AT10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10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0.45620837554836768</v>
      </c>
      <c r="AV10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0.58824833502193463</v>
      </c>
      <c r="AW109" s="19">
        <f>IFERROR(Table1[[#This Row],[* Practice Efficiency]]*Table1[[#This Row],[* Load Before Treatment (kg/yr)]],"")</f>
        <v>1.0435531249438175</v>
      </c>
      <c r="AX109" s="100">
        <v>0</v>
      </c>
      <c r="AY109" s="44" t="s">
        <v>121</v>
      </c>
      <c r="BA109" s="101">
        <v>1</v>
      </c>
      <c r="BB10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1.0435531249438175</v>
      </c>
      <c r="BC109" s="44"/>
      <c r="BD109" s="44"/>
      <c r="BJ109" s="43"/>
      <c r="BK109" s="45"/>
      <c r="BL109" s="45"/>
      <c r="BM10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0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0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0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0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09" s="19" t="str">
        <f>IFERROR(Table1[[#This Row],[* Prior Practice Efficiency]]*Table1[[#This Row],[* Prior Load Before Treatment (kg/year)]],"")</f>
        <v/>
      </c>
      <c r="BT109" s="19"/>
    </row>
    <row r="110" spans="1:72">
      <c r="A110" s="43" t="s">
        <v>525</v>
      </c>
      <c r="B110" s="43" t="s">
        <v>526</v>
      </c>
      <c r="C110" s="43" t="s">
        <v>109</v>
      </c>
      <c r="D110" s="43" t="s">
        <v>110</v>
      </c>
      <c r="E110" s="47">
        <v>44.791848999999999</v>
      </c>
      <c r="F110" s="47">
        <v>-73.067646999999994</v>
      </c>
      <c r="G110" s="44">
        <v>0</v>
      </c>
      <c r="H110" s="44">
        <v>0</v>
      </c>
      <c r="I110" s="44">
        <v>57.937372000000003</v>
      </c>
      <c r="J110" s="43" t="s">
        <v>162</v>
      </c>
      <c r="K110" s="203" t="s">
        <v>162</v>
      </c>
      <c r="N110" s="48"/>
      <c r="O110" s="43" t="s">
        <v>113</v>
      </c>
      <c r="Q110" s="43">
        <v>2022</v>
      </c>
      <c r="T110" s="43" t="s">
        <v>328</v>
      </c>
      <c r="U110" s="43" t="s">
        <v>164</v>
      </c>
      <c r="V110" s="43" t="s">
        <v>527</v>
      </c>
      <c r="W110" s="43" t="s">
        <v>115</v>
      </c>
      <c r="X110" s="43" t="s">
        <v>528</v>
      </c>
      <c r="Y110" s="43">
        <v>3.7774040000000002</v>
      </c>
      <c r="Z110" s="43" t="s">
        <v>136</v>
      </c>
      <c r="AA110" s="43" t="s">
        <v>118</v>
      </c>
      <c r="AF110" s="43">
        <v>54.159968000000006</v>
      </c>
      <c r="AG110" s="43" t="s">
        <v>119</v>
      </c>
      <c r="AH110" s="203"/>
      <c r="AI110" s="203"/>
      <c r="AJ110" s="203"/>
      <c r="AK110" s="203"/>
      <c r="AL110" s="204"/>
      <c r="AN110" s="50">
        <v>90169.2</v>
      </c>
      <c r="AP110" s="205"/>
      <c r="AQ110" s="205"/>
      <c r="AR11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2.7238597651384264</v>
      </c>
      <c r="AS11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1.1622758568545473</v>
      </c>
      <c r="AT11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1.0000000000000009E-2</v>
      </c>
      <c r="AU11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0.32455171370909452</v>
      </c>
      <c r="AV11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0.11324551713709095</v>
      </c>
      <c r="AW110" s="19">
        <f>IFERROR(Table1[[#This Row],[* Practice Efficiency]]*Table1[[#This Row],[* Load Before Treatment (kg/yr)]],"")</f>
        <v>0.30846490771201623</v>
      </c>
      <c r="AX110" s="100">
        <v>0</v>
      </c>
      <c r="AY110" s="44" t="s">
        <v>121</v>
      </c>
      <c r="BA110" s="101">
        <v>1</v>
      </c>
      <c r="BB11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0.30846490771201623</v>
      </c>
      <c r="BC110" s="44"/>
      <c r="BD110" s="44"/>
      <c r="BJ110" s="43"/>
      <c r="BK110" s="45"/>
      <c r="BL110" s="45"/>
      <c r="BM11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1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1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1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1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10" s="19" t="str">
        <f>IFERROR(Table1[[#This Row],[* Prior Practice Efficiency]]*Table1[[#This Row],[* Prior Load Before Treatment (kg/year)]],"")</f>
        <v/>
      </c>
      <c r="BT110" s="19" t="s">
        <v>529</v>
      </c>
    </row>
    <row r="111" spans="1:72">
      <c r="A111" s="43" t="s">
        <v>530</v>
      </c>
      <c r="B111" s="43" t="s">
        <v>531</v>
      </c>
      <c r="C111" s="43" t="s">
        <v>109</v>
      </c>
      <c r="D111" s="43" t="s">
        <v>110</v>
      </c>
      <c r="E111" s="47">
        <v>44.801417396146114</v>
      </c>
      <c r="F111" s="47">
        <v>-73.058357284381913</v>
      </c>
      <c r="G111" s="44">
        <v>0</v>
      </c>
      <c r="H111" s="44">
        <v>0</v>
      </c>
      <c r="I111" s="44">
        <v>28.922588999999999</v>
      </c>
      <c r="J111" s="43" t="s">
        <v>162</v>
      </c>
      <c r="K111" s="203" t="s">
        <v>162</v>
      </c>
      <c r="N111" s="48"/>
      <c r="O111" s="43" t="s">
        <v>113</v>
      </c>
      <c r="Q111" s="43">
        <v>2022</v>
      </c>
      <c r="T111" s="43" t="s">
        <v>163</v>
      </c>
      <c r="U111" s="43" t="s">
        <v>164</v>
      </c>
      <c r="V111" s="43" t="s">
        <v>527</v>
      </c>
      <c r="W111" s="43" t="s">
        <v>115</v>
      </c>
      <c r="X111" s="43" t="s">
        <v>165</v>
      </c>
      <c r="Y111" s="43">
        <v>2.0712319999999997</v>
      </c>
      <c r="Z111" s="43" t="s">
        <v>146</v>
      </c>
      <c r="AA111" s="43" t="s">
        <v>118</v>
      </c>
      <c r="AF111" s="43">
        <v>26.851357</v>
      </c>
      <c r="AG111" s="43" t="s">
        <v>119</v>
      </c>
      <c r="AH111" s="203"/>
      <c r="AI111" s="203"/>
      <c r="AJ111" s="203"/>
      <c r="AK111" s="203"/>
      <c r="AL111" s="204"/>
      <c r="AN111" s="50">
        <v>29795.040000000001</v>
      </c>
      <c r="AP111" s="205"/>
      <c r="AQ111" s="205"/>
      <c r="AR11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2.1696370498774584</v>
      </c>
      <c r="AS11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0.91497449915313067</v>
      </c>
      <c r="AT11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11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0.57487249576565325</v>
      </c>
      <c r="AV11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0.5329948998306262</v>
      </c>
      <c r="AW111" s="19">
        <f>IFERROR(Table1[[#This Row],[* Practice Efficiency]]*Table1[[#This Row],[* Load Before Treatment (kg/yr)]],"")</f>
        <v>1.1564054820682512</v>
      </c>
      <c r="AX111" s="100">
        <v>0</v>
      </c>
      <c r="AY111" s="44" t="s">
        <v>121</v>
      </c>
      <c r="BA111" s="101">
        <v>1</v>
      </c>
      <c r="BB11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1.1564054820682512</v>
      </c>
      <c r="BC111" s="44"/>
      <c r="BD111" s="44"/>
      <c r="BJ111" s="43"/>
      <c r="BK111" s="45"/>
      <c r="BL111" s="45"/>
      <c r="BM11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1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1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1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1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11" s="19" t="str">
        <f>IFERROR(Table1[[#This Row],[* Prior Practice Efficiency]]*Table1[[#This Row],[* Prior Load Before Treatment (kg/year)]],"")</f>
        <v/>
      </c>
      <c r="BT111" s="19" t="s">
        <v>529</v>
      </c>
    </row>
    <row r="112" spans="1:72">
      <c r="B112" s="43" t="s">
        <v>657</v>
      </c>
      <c r="C112" s="43" t="s">
        <v>109</v>
      </c>
      <c r="D112" s="43" t="s">
        <v>110</v>
      </c>
      <c r="E112" s="47">
        <v>44.500981912732804</v>
      </c>
      <c r="F112" s="47">
        <v>-73.095883514268053</v>
      </c>
      <c r="G112" s="44">
        <v>0</v>
      </c>
      <c r="H112" s="44">
        <v>0</v>
      </c>
      <c r="I112" s="44">
        <v>29.399000000000001</v>
      </c>
      <c r="J112" s="43" t="s">
        <v>162</v>
      </c>
      <c r="K112" s="203" t="s">
        <v>162</v>
      </c>
      <c r="N112" s="48"/>
      <c r="O112" s="43" t="s">
        <v>589</v>
      </c>
      <c r="P112" s="43" t="s">
        <v>656</v>
      </c>
      <c r="T112" s="43" t="s">
        <v>649</v>
      </c>
      <c r="U112" s="43" t="s">
        <v>114</v>
      </c>
      <c r="V112" s="43" t="s">
        <v>504</v>
      </c>
      <c r="W112" s="43" t="s">
        <v>115</v>
      </c>
      <c r="X112" s="43" t="s">
        <v>165</v>
      </c>
      <c r="Y112" s="43">
        <v>4.1269030000000004</v>
      </c>
      <c r="Z112" s="43" t="s">
        <v>136</v>
      </c>
      <c r="AA112" s="43" t="s">
        <v>118</v>
      </c>
      <c r="AF112" s="43">
        <v>25.272097000000002</v>
      </c>
      <c r="AG112" s="43" t="s">
        <v>119</v>
      </c>
      <c r="AH112" s="203"/>
      <c r="AI112" s="203"/>
      <c r="AJ112" s="203"/>
      <c r="AK112" s="203"/>
      <c r="AL112" s="204"/>
      <c r="AN112" s="50">
        <v>28967.200000000001</v>
      </c>
      <c r="AP112" s="205"/>
      <c r="AQ112" s="205"/>
      <c r="AR11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2.8170235178902732</v>
      </c>
      <c r="AS11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0.80789164617635489</v>
      </c>
      <c r="AT11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11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3.9458230881774255E-2</v>
      </c>
      <c r="AV11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0.51157832923527102</v>
      </c>
      <c r="AW112" s="19">
        <f>IFERROR(Table1[[#This Row],[* Practice Efficiency]]*Table1[[#This Row],[* Load Before Treatment (kg/yr)]],"")</f>
        <v>1.4411281846987716</v>
      </c>
      <c r="AX112" s="100">
        <v>0</v>
      </c>
      <c r="AY112" s="44" t="s">
        <v>121</v>
      </c>
      <c r="BA112" s="101">
        <v>1</v>
      </c>
      <c r="BB11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1.4411281846987716</v>
      </c>
      <c r="BC112" s="44"/>
      <c r="BD112" s="44"/>
      <c r="BJ112" s="43"/>
      <c r="BK112" s="45"/>
      <c r="BL112" s="45"/>
      <c r="BM11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1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1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1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1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12" s="19" t="str">
        <f>IFERROR(Table1[[#This Row],[* Prior Practice Efficiency]]*Table1[[#This Row],[* Prior Load Before Treatment (kg/year)]],"")</f>
        <v/>
      </c>
      <c r="BT112" s="19"/>
    </row>
    <row r="113" spans="1:72">
      <c r="A113" s="43" t="s">
        <v>203</v>
      </c>
      <c r="B113" s="43" t="s">
        <v>204</v>
      </c>
      <c r="C113" s="43" t="s">
        <v>109</v>
      </c>
      <c r="D113" s="43" t="s">
        <v>110</v>
      </c>
      <c r="G113" s="44">
        <v>7.0000000000000007E-2</v>
      </c>
      <c r="H113" s="44">
        <v>0</v>
      </c>
      <c r="I113" s="44">
        <v>30.6</v>
      </c>
      <c r="J113" s="43" t="s">
        <v>205</v>
      </c>
      <c r="K113" s="66" t="s">
        <v>112</v>
      </c>
      <c r="N113" s="48"/>
      <c r="O113" s="43" t="s">
        <v>113</v>
      </c>
      <c r="Q113" s="43">
        <v>2011</v>
      </c>
      <c r="U113" s="43" t="s">
        <v>206</v>
      </c>
      <c r="V113" s="43" t="str">
        <f>IFERROR(VLOOKUP(Table1[[#This Row],[LC TMDL Drainage Area]],Dropdowns!$P$3:$Q$23,2,FALSE),"")</f>
        <v>Missisquoi Bay</v>
      </c>
      <c r="W113" s="43" t="s">
        <v>115</v>
      </c>
      <c r="X113" s="43" t="s">
        <v>124</v>
      </c>
      <c r="Y113" s="43">
        <v>2.5</v>
      </c>
      <c r="Z113" s="43" t="s">
        <v>117</v>
      </c>
      <c r="AA113" s="43" t="s">
        <v>118</v>
      </c>
      <c r="AB113" s="93"/>
      <c r="AC113" s="93"/>
      <c r="AD113" s="93"/>
      <c r="AE113" s="93"/>
      <c r="AF113" s="43">
        <v>28.1</v>
      </c>
      <c r="AG113" s="43" t="s">
        <v>119</v>
      </c>
      <c r="AH113" s="4">
        <v>2</v>
      </c>
      <c r="AI113" s="4">
        <v>1</v>
      </c>
      <c r="AJ113" s="4">
        <v>4</v>
      </c>
      <c r="AK113" s="4">
        <v>900</v>
      </c>
      <c r="AL113" s="60"/>
      <c r="AM113"/>
      <c r="AN113" s="50">
        <f>(Table1[[#This Row],[Bottom Width (ft)]]+Table1[[#This Row],[Average Depth at Peak Storage (ft)]]*Table1[[#This Row],[Side Slope (ft/ft)]])*Table1[[#This Row],[Average Depth at Peak Storage (ft)]]*Table1[[#This Row],[Length Provided (ft)]]</f>
        <v>5400</v>
      </c>
      <c r="AP113" s="8" t="s">
        <v>120</v>
      </c>
      <c r="AQ113" s="8" t="s">
        <v>120</v>
      </c>
      <c r="AR11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2.0147926619877765</v>
      </c>
      <c r="AS11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0.29932583660982071</v>
      </c>
      <c r="AT11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11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0.49662918304910347</v>
      </c>
      <c r="AV11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3.9865167321964136E-2</v>
      </c>
      <c r="AW113" s="19">
        <f>IFERROR(Table1[[#This Row],[* Practice Efficiency]]*Table1[[#This Row],[* Load Before Treatment (kg/yr)]],"")</f>
        <v>8.0320046589208244E-2</v>
      </c>
      <c r="AX113" s="100">
        <f>Table1[[#This Row],[Manually entered practice effiency ]]*Table1[[#This Row],[* Load Before Treatment (kg/yr)]]</f>
        <v>0</v>
      </c>
      <c r="AY113" s="43" t="s">
        <v>121</v>
      </c>
      <c r="BA113" s="101">
        <v>1</v>
      </c>
      <c r="BB11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8.0320046589208244E-2</v>
      </c>
      <c r="BC113" s="44"/>
      <c r="BD113" s="44"/>
      <c r="BJ113" s="43"/>
      <c r="BK113" s="45"/>
      <c r="BL113" s="45"/>
      <c r="BM11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1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1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1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1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13" s="19" t="str">
        <f>IFERROR(Table1[[#This Row],[* Prior Practice Efficiency]]*Table1[[#This Row],[* Prior Load Before Treatment (kg/year)]],"")</f>
        <v/>
      </c>
      <c r="BT113" s="19" t="s">
        <v>207</v>
      </c>
    </row>
    <row r="114" spans="1:72">
      <c r="A114" s="43" t="s">
        <v>208</v>
      </c>
      <c r="B114" s="43" t="s">
        <v>204</v>
      </c>
      <c r="C114" s="43" t="s">
        <v>109</v>
      </c>
      <c r="D114" s="43" t="s">
        <v>110</v>
      </c>
      <c r="G114" s="44">
        <v>7.0000000000000007E-2</v>
      </c>
      <c r="H114" s="44">
        <v>0</v>
      </c>
      <c r="I114" s="44">
        <v>30.6</v>
      </c>
      <c r="J114" s="43" t="s">
        <v>205</v>
      </c>
      <c r="K114" s="66" t="s">
        <v>112</v>
      </c>
      <c r="N114" s="48"/>
      <c r="O114" s="43" t="s">
        <v>113</v>
      </c>
      <c r="Q114" s="43">
        <v>2011</v>
      </c>
      <c r="U114" s="43" t="s">
        <v>206</v>
      </c>
      <c r="V114" s="43" t="str">
        <f>IFERROR(VLOOKUP(Table1[[#This Row],[LC TMDL Drainage Area]],Dropdowns!$P$3:$Q$23,2,FALSE),"")</f>
        <v>Missisquoi Bay</v>
      </c>
      <c r="W114" s="43" t="s">
        <v>115</v>
      </c>
      <c r="X114" s="43" t="s">
        <v>170</v>
      </c>
      <c r="Y114" s="43">
        <v>1.25</v>
      </c>
      <c r="Z114" s="43" t="s">
        <v>117</v>
      </c>
      <c r="AA114" s="43" t="s">
        <v>118</v>
      </c>
      <c r="AF114" s="43">
        <v>29.35</v>
      </c>
      <c r="AG114" s="43" t="s">
        <v>119</v>
      </c>
      <c r="AH114" s="5"/>
      <c r="AI114" s="5"/>
      <c r="AJ114" s="4"/>
      <c r="AK114" s="4"/>
      <c r="AL114" s="60"/>
      <c r="AM114"/>
      <c r="AN114" s="59">
        <v>4945</v>
      </c>
      <c r="AO114" s="43" t="s">
        <v>209</v>
      </c>
      <c r="AP114" s="8" t="s">
        <v>120</v>
      </c>
      <c r="AQ114" s="8" t="s">
        <v>120</v>
      </c>
      <c r="AR11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1.0073963309938883</v>
      </c>
      <c r="AS11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0.33249692529910385</v>
      </c>
      <c r="AT11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0.26</v>
      </c>
      <c r="AU11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0.6624846264955192</v>
      </c>
      <c r="AV11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0.50224600288883503</v>
      </c>
      <c r="AW114" s="19">
        <f>IFERROR(Table1[[#This Row],[* Practice Efficiency]]*Table1[[#This Row],[* Load Before Treatment (kg/yr)]],"")</f>
        <v>0.50596078056655824</v>
      </c>
      <c r="AX114" s="100">
        <f>Table1[[#This Row],[Manually entered practice effiency ]]*Table1[[#This Row],[* Load Before Treatment (kg/yr)]]</f>
        <v>0</v>
      </c>
      <c r="AY114" s="43" t="s">
        <v>121</v>
      </c>
      <c r="BA114" s="101">
        <v>1</v>
      </c>
      <c r="BB11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0.50596078056655824</v>
      </c>
      <c r="BC114" s="44"/>
      <c r="BD114" s="44"/>
      <c r="BJ114" s="43"/>
      <c r="BK114" s="45"/>
      <c r="BL114" s="45"/>
      <c r="BM11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1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1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1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1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14" s="19" t="str">
        <f>IFERROR(Table1[[#This Row],[* Prior Practice Efficiency]]*Table1[[#This Row],[* Prior Load Before Treatment (kg/year)]],"")</f>
        <v/>
      </c>
      <c r="BT114" s="19" t="s">
        <v>210</v>
      </c>
    </row>
    <row r="115" spans="1:72">
      <c r="A115" s="43" t="s">
        <v>496</v>
      </c>
      <c r="B115" s="43" t="s">
        <v>497</v>
      </c>
      <c r="C115" s="43" t="s">
        <v>109</v>
      </c>
      <c r="D115" s="43" t="s">
        <v>110</v>
      </c>
      <c r="G115" s="44">
        <v>0.18</v>
      </c>
      <c r="H115" s="44">
        <v>0.08</v>
      </c>
      <c r="I115" s="44">
        <v>0.26</v>
      </c>
      <c r="J115" s="43" t="s">
        <v>498</v>
      </c>
      <c r="K115" s="203" t="s">
        <v>112</v>
      </c>
      <c r="N115" s="48"/>
      <c r="O115" s="43" t="s">
        <v>113</v>
      </c>
      <c r="Q115" s="43">
        <v>2021</v>
      </c>
      <c r="U115" s="43" t="s">
        <v>499</v>
      </c>
      <c r="V115" s="43" t="s">
        <v>500</v>
      </c>
      <c r="W115" s="43" t="s">
        <v>115</v>
      </c>
      <c r="X115" s="43" t="s">
        <v>124</v>
      </c>
      <c r="Y115" s="43">
        <v>0.13</v>
      </c>
      <c r="Z115" s="43" t="s">
        <v>146</v>
      </c>
      <c r="AA115" s="43" t="s">
        <v>118</v>
      </c>
      <c r="AF115" s="43">
        <v>7.0000000000000007E-2</v>
      </c>
      <c r="AG115" s="43" t="s">
        <v>119</v>
      </c>
      <c r="AH115" s="203"/>
      <c r="AI115" s="203"/>
      <c r="AJ115" s="203"/>
      <c r="AK115" s="203"/>
      <c r="AL115" s="204"/>
      <c r="AN115" s="50">
        <v>93.673799999999986</v>
      </c>
      <c r="AP115" s="205"/>
      <c r="AQ115" s="205"/>
      <c r="AR11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0.12727281790927622</v>
      </c>
      <c r="AS11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0.19243724019579378</v>
      </c>
      <c r="AT115"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0.02</v>
      </c>
      <c r="AU11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0.92437240195793768</v>
      </c>
      <c r="AV11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1.8487448039158753E-2</v>
      </c>
      <c r="AW115" s="19">
        <f>IFERROR(Table1[[#This Row],[* Practice Efficiency]]*Table1[[#This Row],[* Load Before Treatment (kg/yr)]],"")</f>
        <v>2.3529496078950577E-3</v>
      </c>
      <c r="AX115" s="100">
        <v>0</v>
      </c>
      <c r="AY115" s="44" t="s">
        <v>121</v>
      </c>
      <c r="BA115" s="101">
        <v>1</v>
      </c>
      <c r="BB11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2.3529496078950577E-3</v>
      </c>
      <c r="BC115" s="44"/>
      <c r="BD115" s="44"/>
      <c r="BJ115" s="43"/>
      <c r="BK115" s="45"/>
      <c r="BL115" s="45"/>
      <c r="BM11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1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1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1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1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15" s="19" t="str">
        <f>IFERROR(Table1[[#This Row],[* Prior Practice Efficiency]]*Table1[[#This Row],[* Prior Load Before Treatment (kg/year)]],"")</f>
        <v/>
      </c>
      <c r="BT115" s="19"/>
    </row>
    <row r="116" spans="1:72">
      <c r="A116" s="43" t="s">
        <v>501</v>
      </c>
      <c r="B116" s="43" t="s">
        <v>497</v>
      </c>
      <c r="C116" s="43" t="s">
        <v>109</v>
      </c>
      <c r="D116" s="43" t="s">
        <v>110</v>
      </c>
      <c r="G116" s="44">
        <v>0.37</v>
      </c>
      <c r="H116" s="44">
        <v>0.12</v>
      </c>
      <c r="I116" s="44">
        <v>0.5</v>
      </c>
      <c r="J116" s="43" t="s">
        <v>498</v>
      </c>
      <c r="K116" s="203" t="s">
        <v>129</v>
      </c>
      <c r="N116" s="48"/>
      <c r="O116" s="43" t="s">
        <v>113</v>
      </c>
      <c r="Q116" s="43">
        <v>2021</v>
      </c>
      <c r="U116" s="43" t="s">
        <v>499</v>
      </c>
      <c r="V116" s="43" t="s">
        <v>500</v>
      </c>
      <c r="W116" s="43" t="s">
        <v>115</v>
      </c>
      <c r="X116" s="43" t="s">
        <v>124</v>
      </c>
      <c r="Y116" s="43">
        <v>0.55000000000000004</v>
      </c>
      <c r="Z116" s="43" t="s">
        <v>146</v>
      </c>
      <c r="AA116" s="43" t="s">
        <v>118</v>
      </c>
      <c r="AF116" s="43">
        <v>3.79</v>
      </c>
      <c r="AG116" s="43" t="s">
        <v>119</v>
      </c>
      <c r="AH116" s="203"/>
      <c r="AI116" s="203"/>
      <c r="AJ116" s="203"/>
      <c r="AK116" s="203"/>
      <c r="AL116" s="204"/>
      <c r="AN116" s="50">
        <v>499.32</v>
      </c>
      <c r="AP116" s="205"/>
      <c r="AQ116" s="205"/>
      <c r="AR11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0.538461921923861</v>
      </c>
      <c r="AS11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0.1809979853718959</v>
      </c>
      <c r="AT116"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0.02</v>
      </c>
      <c r="AU11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0.80997985371895898</v>
      </c>
      <c r="AV11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1.619959707437918E-2</v>
      </c>
      <c r="AW116" s="19">
        <f>IFERROR(Table1[[#This Row],[* Practice Efficiency]]*Table1[[#This Row],[* Load Before Treatment (kg/yr)]],"")</f>
        <v>8.7228661750623684E-3</v>
      </c>
      <c r="AX116" s="100">
        <v>0</v>
      </c>
      <c r="AY116" s="44" t="s">
        <v>121</v>
      </c>
      <c r="BA116" s="101">
        <v>1</v>
      </c>
      <c r="BB11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8.7228661750623684E-3</v>
      </c>
      <c r="BC116" s="44"/>
      <c r="BD116" s="44"/>
      <c r="BJ116" s="43"/>
      <c r="BK116" s="45"/>
      <c r="BL116" s="45"/>
      <c r="BM11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1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1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1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1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16" s="19" t="str">
        <f>IFERROR(Table1[[#This Row],[* Prior Practice Efficiency]]*Table1[[#This Row],[* Prior Load Before Treatment (kg/year)]],"")</f>
        <v/>
      </c>
      <c r="BT116" s="19"/>
    </row>
    <row r="117" spans="1:72">
      <c r="A117" s="43" t="s">
        <v>377</v>
      </c>
      <c r="B117" s="43" t="s">
        <v>378</v>
      </c>
      <c r="C117" s="43" t="s">
        <v>109</v>
      </c>
      <c r="D117" s="43" t="s">
        <v>110</v>
      </c>
      <c r="G117" s="44">
        <v>0.21</v>
      </c>
      <c r="H117" s="44">
        <v>1.1499999999999999</v>
      </c>
      <c r="I117" s="44">
        <v>0.39</v>
      </c>
      <c r="J117" s="43" t="s">
        <v>379</v>
      </c>
      <c r="K117" s="66" t="s">
        <v>112</v>
      </c>
      <c r="N117" s="48"/>
      <c r="O117" s="43" t="s">
        <v>113</v>
      </c>
      <c r="Q117" s="43">
        <v>2015</v>
      </c>
      <c r="U117" s="43" t="s">
        <v>214</v>
      </c>
      <c r="V117" s="43" t="str">
        <f>IFERROR(VLOOKUP(Table1[[#This Row],[LC TMDL Drainage Area]],Dropdowns!$P$3:$Q$23,2,FALSE),"")</f>
        <v>Malletts Bay</v>
      </c>
      <c r="W117" s="43" t="s">
        <v>115</v>
      </c>
      <c r="X117" s="43" t="s">
        <v>201</v>
      </c>
      <c r="Y117" s="43">
        <v>0.27</v>
      </c>
      <c r="Z117" s="43" t="s">
        <v>136</v>
      </c>
      <c r="AA117" s="43" t="s">
        <v>118</v>
      </c>
      <c r="AB117" s="93"/>
      <c r="AC117" s="93"/>
      <c r="AD117" s="93"/>
      <c r="AE117" s="93"/>
      <c r="AF117" s="43">
        <v>0.12</v>
      </c>
      <c r="AG117" s="43" t="s">
        <v>119</v>
      </c>
      <c r="AH117" s="4">
        <v>8</v>
      </c>
      <c r="AI117" s="4">
        <v>1.33</v>
      </c>
      <c r="AJ117" s="4">
        <v>4</v>
      </c>
      <c r="AK117" s="4">
        <v>78</v>
      </c>
      <c r="AL117" s="60"/>
      <c r="AM117"/>
      <c r="AN117" s="50">
        <v>1756.4</v>
      </c>
      <c r="AP117" s="8" t="s">
        <v>166</v>
      </c>
      <c r="AQ117" s="8" t="s">
        <v>166</v>
      </c>
      <c r="AR11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0.18010283703642391</v>
      </c>
      <c r="AS11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1.5099731336080986</v>
      </c>
      <c r="AT11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5.0000000000000044E-2</v>
      </c>
      <c r="AU11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1.9946267216197189E-2</v>
      </c>
      <c r="AV11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0.53099731336080991</v>
      </c>
      <c r="AW117" s="19">
        <f>IFERROR(Table1[[#This Row],[* Practice Efficiency]]*Table1[[#This Row],[* Load Before Treatment (kg/yr)]],"")</f>
        <v>9.563412259500087E-2</v>
      </c>
      <c r="AX117" s="100">
        <f>Table1[[#This Row],[Manually entered practice effiency ]]*Table1[[#This Row],[* Load Before Treatment (kg/yr)]]</f>
        <v>0</v>
      </c>
      <c r="AY117" s="43" t="s">
        <v>121</v>
      </c>
      <c r="BA117" s="101">
        <v>1</v>
      </c>
      <c r="BB11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9.563412259500087E-2</v>
      </c>
      <c r="BC117" s="44"/>
      <c r="BD117" s="44"/>
      <c r="BJ117" s="43"/>
      <c r="BK117" s="45"/>
      <c r="BL117" s="45"/>
      <c r="BM11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1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1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1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1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17" s="19" t="str">
        <f>IFERROR(Table1[[#This Row],[* Prior Practice Efficiency]]*Table1[[#This Row],[* Prior Load Before Treatment (kg/year)]],"")</f>
        <v/>
      </c>
      <c r="BT117" s="19"/>
    </row>
    <row r="118" spans="1:72">
      <c r="A118" s="43" t="s">
        <v>380</v>
      </c>
      <c r="B118" s="43" t="s">
        <v>378</v>
      </c>
      <c r="C118" s="43" t="s">
        <v>109</v>
      </c>
      <c r="D118" s="43" t="s">
        <v>110</v>
      </c>
      <c r="G118" s="44">
        <v>0.21</v>
      </c>
      <c r="H118" s="44">
        <v>1.1499999999999999</v>
      </c>
      <c r="I118" s="44">
        <v>0.62</v>
      </c>
      <c r="J118" s="43" t="s">
        <v>379</v>
      </c>
      <c r="K118" s="66" t="s">
        <v>112</v>
      </c>
      <c r="N118" s="48"/>
      <c r="O118" s="43" t="s">
        <v>113</v>
      </c>
      <c r="Q118" s="43">
        <v>2015</v>
      </c>
      <c r="U118" s="43" t="s">
        <v>214</v>
      </c>
      <c r="V118" s="43" t="str">
        <f>IFERROR(VLOOKUP(Table1[[#This Row],[LC TMDL Drainage Area]],Dropdowns!$P$3:$Q$23,2,FALSE),"")</f>
        <v>Malletts Bay</v>
      </c>
      <c r="W118" s="43" t="s">
        <v>115</v>
      </c>
      <c r="X118" s="43" t="s">
        <v>124</v>
      </c>
      <c r="Y118" s="43">
        <v>0.21</v>
      </c>
      <c r="Z118" s="43" t="s">
        <v>136</v>
      </c>
      <c r="AA118" s="43" t="s">
        <v>118</v>
      </c>
      <c r="AB118" s="93"/>
      <c r="AC118" s="93"/>
      <c r="AD118" s="93"/>
      <c r="AE118" s="93"/>
      <c r="AF118" s="43">
        <v>0.41</v>
      </c>
      <c r="AG118" s="43" t="s">
        <v>119</v>
      </c>
      <c r="AH118" s="4">
        <v>8</v>
      </c>
      <c r="AI118" s="4">
        <v>0.09</v>
      </c>
      <c r="AJ118" s="4">
        <v>3</v>
      </c>
      <c r="AK118" s="4">
        <v>478</v>
      </c>
      <c r="AL118" s="60">
        <v>236</v>
      </c>
      <c r="AM118"/>
      <c r="AN118" s="50">
        <v>355.77539999999999</v>
      </c>
      <c r="AP118" s="8" t="s">
        <v>120</v>
      </c>
      <c r="AQ118" s="8" t="s">
        <v>120</v>
      </c>
      <c r="AR11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0.14007998436166302</v>
      </c>
      <c r="AS11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0.38356774809859145</v>
      </c>
      <c r="AT11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11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0.91783874049295722</v>
      </c>
      <c r="AV11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5.6713549619718279E-2</v>
      </c>
      <c r="AW118" s="19">
        <f>IFERROR(Table1[[#This Row],[* Practice Efficiency]]*Table1[[#This Row],[* Load Before Treatment (kg/yr)]],"")</f>
        <v>7.9444331438245364E-3</v>
      </c>
      <c r="AX118" s="100">
        <f>Table1[[#This Row],[Manually entered practice effiency ]]*Table1[[#This Row],[* Load Before Treatment (kg/yr)]]</f>
        <v>0</v>
      </c>
      <c r="AY118" s="43" t="s">
        <v>121</v>
      </c>
      <c r="BA118" s="101">
        <v>1</v>
      </c>
      <c r="BB11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7.9444331438245364E-3</v>
      </c>
      <c r="BC118" s="44"/>
      <c r="BD118" s="44"/>
      <c r="BJ118" s="43"/>
      <c r="BK118" s="45"/>
      <c r="BL118" s="45"/>
      <c r="BM11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1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1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1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1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18" s="19" t="str">
        <f>IFERROR(Table1[[#This Row],[* Prior Practice Efficiency]]*Table1[[#This Row],[* Prior Load Before Treatment (kg/year)]],"")</f>
        <v/>
      </c>
      <c r="BT118" s="19"/>
    </row>
    <row r="119" spans="1:72">
      <c r="B119" s="43" t="s">
        <v>648</v>
      </c>
      <c r="C119" s="43" t="s">
        <v>109</v>
      </c>
      <c r="D119" s="43" t="s">
        <v>110</v>
      </c>
      <c r="E119" s="47">
        <v>44.508036747380402</v>
      </c>
      <c r="F119" s="47">
        <v>-73.089368913281461</v>
      </c>
      <c r="G119" s="44">
        <v>0</v>
      </c>
      <c r="H119" s="44">
        <v>0</v>
      </c>
      <c r="I119" s="44">
        <v>2.781237</v>
      </c>
      <c r="J119" s="43" t="s">
        <v>162</v>
      </c>
      <c r="K119" s="203" t="s">
        <v>162</v>
      </c>
      <c r="N119" s="48"/>
      <c r="O119" s="43" t="s">
        <v>589</v>
      </c>
      <c r="P119" s="43" t="s">
        <v>644</v>
      </c>
      <c r="T119" s="43" t="s">
        <v>649</v>
      </c>
      <c r="U119" s="43" t="s">
        <v>114</v>
      </c>
      <c r="V119" s="43" t="s">
        <v>504</v>
      </c>
      <c r="W119" s="43" t="s">
        <v>115</v>
      </c>
      <c r="X119" s="43" t="s">
        <v>483</v>
      </c>
      <c r="Y119" s="43">
        <v>0.85214800000000002</v>
      </c>
      <c r="Z119" s="43" t="s">
        <v>136</v>
      </c>
      <c r="AA119" s="43" t="s">
        <v>118</v>
      </c>
      <c r="AF119" s="43">
        <v>1.9290889999999998</v>
      </c>
      <c r="AG119" s="43" t="s">
        <v>119</v>
      </c>
      <c r="AH119" s="203"/>
      <c r="AI119" s="203"/>
      <c r="AJ119" s="203"/>
      <c r="AK119" s="203"/>
      <c r="AL119" s="204"/>
      <c r="AN119" s="50">
        <v>5270.76</v>
      </c>
      <c r="AP119" s="205"/>
      <c r="AQ119" s="205"/>
      <c r="AR11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0.58167612777018507</v>
      </c>
      <c r="AS11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1.0304981020379016</v>
      </c>
      <c r="AT11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4.9999999999999933E-2</v>
      </c>
      <c r="AU11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6.0996204075803195E-2</v>
      </c>
      <c r="AV11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0.48304981020379012</v>
      </c>
      <c r="AW119" s="19">
        <f>IFERROR(Table1[[#This Row],[* Practice Efficiency]]*Table1[[#This Row],[* Load Before Treatment (kg/yr)]],"")</f>
        <v>0.28097854311946346</v>
      </c>
      <c r="AX119" s="100">
        <v>0</v>
      </c>
      <c r="AY119" s="44" t="s">
        <v>121</v>
      </c>
      <c r="BA119" s="101">
        <v>1</v>
      </c>
      <c r="BB11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0.28097854311946346</v>
      </c>
      <c r="BC119" s="44"/>
      <c r="BD119" s="44"/>
      <c r="BJ119" s="43"/>
      <c r="BK119" s="45"/>
      <c r="BL119" s="45"/>
      <c r="BM11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1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1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1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1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19" s="19" t="str">
        <f>IFERROR(Table1[[#This Row],[* Prior Practice Efficiency]]*Table1[[#This Row],[* Prior Load Before Treatment (kg/year)]],"")</f>
        <v/>
      </c>
      <c r="BT119" s="19"/>
    </row>
    <row r="120" spans="1:72">
      <c r="B120" s="43" t="s">
        <v>650</v>
      </c>
      <c r="C120" s="43" t="s">
        <v>109</v>
      </c>
      <c r="D120" s="43" t="s">
        <v>110</v>
      </c>
      <c r="E120" s="47">
        <v>44.506577130390603</v>
      </c>
      <c r="F120" s="47">
        <v>-73.087119147499237</v>
      </c>
      <c r="G120" s="44">
        <v>0</v>
      </c>
      <c r="H120" s="44">
        <v>0</v>
      </c>
      <c r="I120" s="44">
        <v>2.1535299999999999</v>
      </c>
      <c r="J120" s="43" t="s">
        <v>162</v>
      </c>
      <c r="K120" s="203" t="s">
        <v>162</v>
      </c>
      <c r="N120" s="48"/>
      <c r="O120" s="43" t="s">
        <v>589</v>
      </c>
      <c r="P120" s="43" t="s">
        <v>644</v>
      </c>
      <c r="T120" s="43" t="s">
        <v>649</v>
      </c>
      <c r="U120" s="43" t="s">
        <v>114</v>
      </c>
      <c r="V120" s="43" t="s">
        <v>504</v>
      </c>
      <c r="W120" s="43" t="s">
        <v>115</v>
      </c>
      <c r="X120" s="43" t="s">
        <v>483</v>
      </c>
      <c r="Y120" s="43">
        <v>0.76038099999999997</v>
      </c>
      <c r="Z120" s="43" t="s">
        <v>146</v>
      </c>
      <c r="AA120" s="43" t="s">
        <v>118</v>
      </c>
      <c r="AF120" s="43">
        <v>1.393149</v>
      </c>
      <c r="AG120" s="43" t="s">
        <v>119</v>
      </c>
      <c r="AH120" s="203"/>
      <c r="AI120" s="203"/>
      <c r="AJ120" s="203"/>
      <c r="AK120" s="203"/>
      <c r="AL120" s="204"/>
      <c r="AN120" s="50">
        <v>4443.12</v>
      </c>
      <c r="AP120" s="205"/>
      <c r="AQ120" s="205"/>
      <c r="AR12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0.70058301170763071</v>
      </c>
      <c r="AS12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1.0471290976616368</v>
      </c>
      <c r="AT12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4.9999999999999933E-2</v>
      </c>
      <c r="AU12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9.4258195323273508E-2</v>
      </c>
      <c r="AV12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0.48471290976616366</v>
      </c>
      <c r="AW120" s="19">
        <f>IFERROR(Table1[[#This Row],[* Practice Efficiency]]*Table1[[#This Row],[* Load Before Treatment (kg/yr)]],"")</f>
        <v>0.339581630137548</v>
      </c>
      <c r="AX120" s="100">
        <v>0</v>
      </c>
      <c r="AY120" s="44" t="s">
        <v>121</v>
      </c>
      <c r="BA120" s="101">
        <v>1</v>
      </c>
      <c r="BB12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0.339581630137548</v>
      </c>
      <c r="BC120" s="44"/>
      <c r="BD120" s="44"/>
      <c r="BJ120" s="43"/>
      <c r="BK120" s="45"/>
      <c r="BL120" s="45"/>
      <c r="BM12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2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2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2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2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20" s="19" t="str">
        <f>IFERROR(Table1[[#This Row],[* Prior Practice Efficiency]]*Table1[[#This Row],[* Prior Load Before Treatment (kg/year)]],"")</f>
        <v/>
      </c>
      <c r="BT120" s="19"/>
    </row>
    <row r="121" spans="1:72">
      <c r="B121" s="43" t="s">
        <v>601</v>
      </c>
      <c r="C121" s="43" t="s">
        <v>109</v>
      </c>
      <c r="D121" s="43" t="s">
        <v>110</v>
      </c>
      <c r="E121" s="47">
        <v>44.775085044542102</v>
      </c>
      <c r="F121" s="47">
        <v>-73.070944196363683</v>
      </c>
      <c r="G121" s="44">
        <v>0</v>
      </c>
      <c r="H121" s="44">
        <v>0</v>
      </c>
      <c r="I121" s="44">
        <v>61.828035999999997</v>
      </c>
      <c r="J121" s="43" t="s">
        <v>162</v>
      </c>
      <c r="K121" s="203" t="s">
        <v>162</v>
      </c>
      <c r="N121" s="48"/>
      <c r="O121" s="43" t="s">
        <v>598</v>
      </c>
      <c r="P121" s="43">
        <v>2022</v>
      </c>
      <c r="T121" s="43" t="s">
        <v>328</v>
      </c>
      <c r="U121" s="43" t="s">
        <v>164</v>
      </c>
      <c r="V121" s="43" t="s">
        <v>527</v>
      </c>
      <c r="W121" s="43" t="s">
        <v>115</v>
      </c>
      <c r="X121" s="43" t="s">
        <v>170</v>
      </c>
      <c r="Y121" s="43">
        <v>0.49702999999999997</v>
      </c>
      <c r="Z121" s="43" t="s">
        <v>136</v>
      </c>
      <c r="AA121" s="43" t="s">
        <v>118</v>
      </c>
      <c r="AF121" s="43">
        <v>61.331005999999995</v>
      </c>
      <c r="AG121" s="43" t="s">
        <v>119</v>
      </c>
      <c r="AH121" s="203"/>
      <c r="AI121" s="203"/>
      <c r="AJ121" s="203"/>
      <c r="AK121" s="203"/>
      <c r="AL121" s="204"/>
      <c r="AN121" s="50">
        <v>62116.56</v>
      </c>
      <c r="AO121" s="43" t="s">
        <v>209</v>
      </c>
      <c r="AP121" s="205"/>
      <c r="AQ121" s="205"/>
      <c r="AR12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0.35840487781205083</v>
      </c>
      <c r="AS12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0.98317741809136916</v>
      </c>
      <c r="AT12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2.0000000000000018E-2</v>
      </c>
      <c r="AU12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0.9158870904568458</v>
      </c>
      <c r="AV12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0.92831774180913695</v>
      </c>
      <c r="AW121" s="19">
        <f>IFERROR(Table1[[#This Row],[* Practice Efficiency]]*Table1[[#This Row],[* Load Before Treatment (kg/yr)]],"")</f>
        <v>0.3327136068238627</v>
      </c>
      <c r="AX121" s="100">
        <v>0</v>
      </c>
      <c r="AY121" s="44" t="s">
        <v>121</v>
      </c>
      <c r="BA121" s="101">
        <v>1</v>
      </c>
      <c r="BB12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0.3327136068238627</v>
      </c>
      <c r="BC121" s="44"/>
      <c r="BD121" s="44"/>
      <c r="BJ121" s="43"/>
      <c r="BK121" s="45"/>
      <c r="BL121" s="45"/>
      <c r="BM12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2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2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2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2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21" s="19" t="str">
        <f>IFERROR(Table1[[#This Row],[* Prior Practice Efficiency]]*Table1[[#This Row],[* Prior Load Before Treatment (kg/year)]],"")</f>
        <v/>
      </c>
      <c r="BT121" s="19" t="s">
        <v>602</v>
      </c>
    </row>
    <row r="122" spans="1:72">
      <c r="B122" s="43" t="s">
        <v>651</v>
      </c>
      <c r="C122" s="43" t="s">
        <v>109</v>
      </c>
      <c r="D122" s="43" t="s">
        <v>110</v>
      </c>
      <c r="E122" s="47">
        <v>44.469862999999997</v>
      </c>
      <c r="F122" s="47">
        <v>-73.183543</v>
      </c>
      <c r="G122" s="44">
        <v>0</v>
      </c>
      <c r="H122" s="44">
        <v>0</v>
      </c>
      <c r="I122" s="44">
        <v>39.173386000000001</v>
      </c>
      <c r="J122" s="43" t="s">
        <v>162</v>
      </c>
      <c r="K122" s="203" t="s">
        <v>162</v>
      </c>
      <c r="N122" s="48"/>
      <c r="O122" s="43" t="s">
        <v>589</v>
      </c>
      <c r="P122" s="43" t="s">
        <v>644</v>
      </c>
      <c r="T122" s="43" t="s">
        <v>637</v>
      </c>
      <c r="U122" s="43" t="s">
        <v>134</v>
      </c>
      <c r="V122" s="43" t="s">
        <v>492</v>
      </c>
      <c r="W122" s="43" t="s">
        <v>115</v>
      </c>
      <c r="X122" s="43" t="s">
        <v>383</v>
      </c>
      <c r="Y122" s="43">
        <v>13.797972</v>
      </c>
      <c r="Z122" s="43" t="s">
        <v>146</v>
      </c>
      <c r="AA122" s="43" t="s">
        <v>118</v>
      </c>
      <c r="AF122" s="43">
        <v>25.375413999999999</v>
      </c>
      <c r="AG122" s="43" t="s">
        <v>119</v>
      </c>
      <c r="AH122" s="203"/>
      <c r="AI122" s="203"/>
      <c r="AJ122" s="203"/>
      <c r="AK122" s="203"/>
      <c r="AL122" s="204"/>
      <c r="AN122" s="50">
        <v>102583.8</v>
      </c>
      <c r="AO122" s="43" t="s">
        <v>330</v>
      </c>
      <c r="AP122" s="205"/>
      <c r="AQ122" s="205"/>
      <c r="AR12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14.046446995078794</v>
      </c>
      <c r="AS12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1.2482168208550262</v>
      </c>
      <c r="AT12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6.9999999999999951E-2</v>
      </c>
      <c r="AU12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0.49643364171005233</v>
      </c>
      <c r="AV12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0.86475035491970365</v>
      </c>
      <c r="AW122" s="19">
        <f>IFERROR(Table1[[#This Row],[* Practice Efficiency]]*Table1[[#This Row],[* Load Before Treatment (kg/yr)]],"")</f>
        <v>12.146670024355192</v>
      </c>
      <c r="AX122" s="100">
        <v>0</v>
      </c>
      <c r="AY122" s="44" t="s">
        <v>121</v>
      </c>
      <c r="BA122" s="101">
        <v>1</v>
      </c>
      <c r="BB12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12.146670024355192</v>
      </c>
      <c r="BC122" s="44"/>
      <c r="BD122" s="44"/>
      <c r="BJ122" s="43"/>
      <c r="BK122" s="45"/>
      <c r="BL122" s="45"/>
      <c r="BM12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2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2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2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2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22" s="19" t="str">
        <f>IFERROR(Table1[[#This Row],[* Prior Practice Efficiency]]*Table1[[#This Row],[* Prior Load Before Treatment (kg/year)]],"")</f>
        <v/>
      </c>
      <c r="BT122" s="19"/>
    </row>
    <row r="123" spans="1:72">
      <c r="B123" s="43" t="s">
        <v>636</v>
      </c>
      <c r="C123" s="43" t="s">
        <v>109</v>
      </c>
      <c r="D123" s="43" t="s">
        <v>110</v>
      </c>
      <c r="E123" s="47">
        <v>44.472064000000003</v>
      </c>
      <c r="F123" s="47">
        <v>-73.182822000000002</v>
      </c>
      <c r="G123" s="44">
        <v>0</v>
      </c>
      <c r="H123" s="44">
        <v>0</v>
      </c>
      <c r="I123" s="44">
        <v>13.072755000000001</v>
      </c>
      <c r="J123" s="43" t="s">
        <v>162</v>
      </c>
      <c r="K123" s="203" t="s">
        <v>162</v>
      </c>
      <c r="N123" s="48"/>
      <c r="O123" s="43" t="s">
        <v>589</v>
      </c>
      <c r="P123" s="43">
        <v>2032</v>
      </c>
      <c r="T123" s="43" t="s">
        <v>637</v>
      </c>
      <c r="U123" s="43" t="s">
        <v>134</v>
      </c>
      <c r="V123" s="43" t="s">
        <v>492</v>
      </c>
      <c r="W123" s="43" t="s">
        <v>115</v>
      </c>
      <c r="X123" s="43" t="s">
        <v>528</v>
      </c>
      <c r="Y123" s="43">
        <v>2.8231299999999999</v>
      </c>
      <c r="Z123" s="43" t="s">
        <v>146</v>
      </c>
      <c r="AA123" s="43" t="s">
        <v>118</v>
      </c>
      <c r="AF123" s="43">
        <v>10.249625000000002</v>
      </c>
      <c r="AG123" s="43" t="s">
        <v>119</v>
      </c>
      <c r="AH123" s="203"/>
      <c r="AI123" s="203"/>
      <c r="AJ123" s="203"/>
      <c r="AK123" s="203"/>
      <c r="AL123" s="204"/>
      <c r="AN123" s="50">
        <v>125017.20000000001</v>
      </c>
      <c r="AP123" s="205"/>
      <c r="AQ123" s="205"/>
      <c r="AR12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2.8739691532361999</v>
      </c>
      <c r="AS12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2</v>
      </c>
      <c r="AT123"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12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2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0.13</v>
      </c>
      <c r="AW123" s="19">
        <f>IFERROR(Table1[[#This Row],[* Practice Efficiency]]*Table1[[#This Row],[* Load Before Treatment (kg/yr)]],"")</f>
        <v>0.37361598992070599</v>
      </c>
      <c r="AX123" s="100">
        <v>0</v>
      </c>
      <c r="AY123" s="44" t="s">
        <v>121</v>
      </c>
      <c r="BA123" s="101">
        <v>1</v>
      </c>
      <c r="BB12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0.37361598992070599</v>
      </c>
      <c r="BC123" s="44"/>
      <c r="BD123" s="44"/>
      <c r="BJ123" s="43"/>
      <c r="BK123" s="45"/>
      <c r="BL123" s="45"/>
      <c r="BM12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2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2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2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2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23" s="19" t="str">
        <f>IFERROR(Table1[[#This Row],[* Prior Practice Efficiency]]*Table1[[#This Row],[* Prior Load Before Treatment (kg/year)]],"")</f>
        <v/>
      </c>
      <c r="BT123" s="19"/>
    </row>
    <row r="124" spans="1:72">
      <c r="B124" s="43" t="s">
        <v>652</v>
      </c>
      <c r="C124" s="43" t="s">
        <v>109</v>
      </c>
      <c r="D124" s="43" t="s">
        <v>110</v>
      </c>
      <c r="E124" s="47">
        <v>44.446487591894844</v>
      </c>
      <c r="F124" s="47">
        <v>-73.151795579645778</v>
      </c>
      <c r="G124" s="44">
        <v>0</v>
      </c>
      <c r="H124" s="44">
        <v>0</v>
      </c>
      <c r="I124" s="44">
        <v>6.2805359999999997</v>
      </c>
      <c r="J124" s="43" t="s">
        <v>162</v>
      </c>
      <c r="K124" s="203" t="s">
        <v>162</v>
      </c>
      <c r="N124" s="48"/>
      <c r="O124" s="43" t="s">
        <v>589</v>
      </c>
      <c r="P124" s="43" t="s">
        <v>644</v>
      </c>
      <c r="T124" s="43" t="s">
        <v>645</v>
      </c>
      <c r="U124" s="43" t="s">
        <v>499</v>
      </c>
      <c r="V124" s="43" t="s">
        <v>500</v>
      </c>
      <c r="W124" s="43" t="s">
        <v>115</v>
      </c>
      <c r="X124" s="43" t="s">
        <v>329</v>
      </c>
      <c r="Y124" s="43">
        <v>1.7972840000000001</v>
      </c>
      <c r="Z124" s="43" t="s">
        <v>136</v>
      </c>
      <c r="AA124" s="43" t="s">
        <v>118</v>
      </c>
      <c r="AF124" s="43">
        <v>4.4832519999999993</v>
      </c>
      <c r="AG124" s="43" t="s">
        <v>119</v>
      </c>
      <c r="AH124" s="203"/>
      <c r="AI124" s="203"/>
      <c r="AJ124" s="203"/>
      <c r="AK124" s="203"/>
      <c r="AL124" s="204"/>
      <c r="AN124" s="50">
        <v>23130.36</v>
      </c>
      <c r="AO124" s="43" t="s">
        <v>330</v>
      </c>
      <c r="AP124" s="205"/>
      <c r="AQ124" s="205"/>
      <c r="AR12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1.2156692496259491</v>
      </c>
      <c r="AS12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1.6521473669640545</v>
      </c>
      <c r="AT12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2.0000000000000018E-2</v>
      </c>
      <c r="AU12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0.30429473392810902</v>
      </c>
      <c r="AV12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0.90608589467856215</v>
      </c>
      <c r="AW124" s="19">
        <f>IFERROR(Table1[[#This Row],[* Practice Efficiency]]*Table1[[#This Row],[* Load Before Treatment (kg/yr)]],"")</f>
        <v>1.1015007596805444</v>
      </c>
      <c r="AX124" s="100">
        <v>0</v>
      </c>
      <c r="AY124" s="44" t="s">
        <v>121</v>
      </c>
      <c r="BA124" s="101">
        <v>1</v>
      </c>
      <c r="BB12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1.1015007596805444</v>
      </c>
      <c r="BC124" s="44"/>
      <c r="BD124" s="44"/>
      <c r="BJ124" s="43"/>
      <c r="BK124" s="45"/>
      <c r="BL124" s="45"/>
      <c r="BM12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2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2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2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2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24" s="19" t="str">
        <f>IFERROR(Table1[[#This Row],[* Prior Practice Efficiency]]*Table1[[#This Row],[* Prior Load Before Treatment (kg/year)]],"")</f>
        <v/>
      </c>
      <c r="BT124" s="19"/>
    </row>
    <row r="125" spans="1:72">
      <c r="A125" s="43" t="s">
        <v>435</v>
      </c>
      <c r="B125" s="43" t="s">
        <v>436</v>
      </c>
      <c r="C125" s="43" t="s">
        <v>109</v>
      </c>
      <c r="D125" s="43" t="s">
        <v>110</v>
      </c>
      <c r="G125" s="44">
        <v>0.39</v>
      </c>
      <c r="H125" s="44">
        <v>0</v>
      </c>
      <c r="I125" s="44">
        <v>1.37</v>
      </c>
      <c r="J125" s="43" t="s">
        <v>437</v>
      </c>
      <c r="K125" s="66" t="s">
        <v>112</v>
      </c>
      <c r="N125" s="48"/>
      <c r="O125" s="43" t="s">
        <v>113</v>
      </c>
      <c r="Q125" s="43">
        <v>2018</v>
      </c>
      <c r="U125" s="43" t="s">
        <v>214</v>
      </c>
      <c r="V125" s="43" t="str">
        <f>IFERROR(VLOOKUP(Table1[[#This Row],[LC TMDL Drainage Area]],Dropdowns!$P$3:$Q$23,2,FALSE),"")</f>
        <v>Malletts Bay</v>
      </c>
      <c r="W125" s="43" t="s">
        <v>115</v>
      </c>
      <c r="X125" s="43" t="s">
        <v>124</v>
      </c>
      <c r="Y125" s="43">
        <v>7.0000000000000007E-2</v>
      </c>
      <c r="Z125" s="43" t="s">
        <v>146</v>
      </c>
      <c r="AA125" s="43" t="s">
        <v>118</v>
      </c>
      <c r="AB125" s="93"/>
      <c r="AC125" s="93"/>
      <c r="AD125" s="93"/>
      <c r="AE125" s="93"/>
      <c r="AF125" s="43">
        <v>1.3</v>
      </c>
      <c r="AG125" s="43" t="s">
        <v>119</v>
      </c>
      <c r="AH125" s="4">
        <v>4</v>
      </c>
      <c r="AI125" s="4">
        <v>0.25</v>
      </c>
      <c r="AJ125" s="4">
        <v>4</v>
      </c>
      <c r="AK125" s="4">
        <v>525</v>
      </c>
      <c r="AL125" s="60"/>
      <c r="AM125"/>
      <c r="AN125" s="50">
        <v>656.25</v>
      </c>
      <c r="AP125" s="8" t="s">
        <v>120</v>
      </c>
      <c r="AQ125" s="8" t="s">
        <v>120</v>
      </c>
      <c r="AR12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7.235348227676941E-2</v>
      </c>
      <c r="AS12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0.61142718330192891</v>
      </c>
      <c r="AT12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12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5.7135916509644648E-2</v>
      </c>
      <c r="AV12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9.2285436660385786E-2</v>
      </c>
      <c r="AW125" s="19">
        <f>IFERROR(Table1[[#This Row],[* Practice Efficiency]]*Table1[[#This Row],[* Load Before Treatment (kg/yr)]],"")</f>
        <v>6.6771727058111486E-3</v>
      </c>
      <c r="AX125" s="100">
        <f>Table1[[#This Row],[Manually entered practice effiency ]]*Table1[[#This Row],[* Load Before Treatment (kg/yr)]]</f>
        <v>0</v>
      </c>
      <c r="AY125" s="43" t="s">
        <v>121</v>
      </c>
      <c r="BA125" s="101">
        <v>1</v>
      </c>
      <c r="BB12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6.6771727058111486E-3</v>
      </c>
      <c r="BC125" s="44"/>
      <c r="BD125" s="44"/>
      <c r="BJ125" s="43"/>
      <c r="BK125" s="45"/>
      <c r="BL125" s="45"/>
      <c r="BM12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2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2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2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2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25" s="19" t="str">
        <f>IFERROR(Table1[[#This Row],[* Prior Practice Efficiency]]*Table1[[#This Row],[* Prior Load Before Treatment (kg/year)]],"")</f>
        <v/>
      </c>
      <c r="BT125" s="19" t="s">
        <v>438</v>
      </c>
    </row>
    <row r="126" spans="1:72" ht="15.6" customHeight="1">
      <c r="A126" s="43" t="s">
        <v>439</v>
      </c>
      <c r="B126" s="43" t="s">
        <v>436</v>
      </c>
      <c r="C126" s="43" t="s">
        <v>109</v>
      </c>
      <c r="D126" s="43" t="s">
        <v>110</v>
      </c>
      <c r="G126" s="44">
        <v>0.39</v>
      </c>
      <c r="H126" s="44">
        <v>0</v>
      </c>
      <c r="I126" s="44">
        <v>3.48</v>
      </c>
      <c r="J126" s="43" t="s">
        <v>437</v>
      </c>
      <c r="K126" s="66" t="s">
        <v>112</v>
      </c>
      <c r="N126" s="48"/>
      <c r="O126" s="43" t="s">
        <v>113</v>
      </c>
      <c r="Q126" s="43">
        <v>2018</v>
      </c>
      <c r="U126" s="43" t="s">
        <v>214</v>
      </c>
      <c r="V126" s="43" t="str">
        <f>IFERROR(VLOOKUP(Table1[[#This Row],[LC TMDL Drainage Area]],Dropdowns!$P$3:$Q$23,2,FALSE),"")</f>
        <v>Malletts Bay</v>
      </c>
      <c r="W126" s="43" t="s">
        <v>115</v>
      </c>
      <c r="X126" s="43" t="s">
        <v>124</v>
      </c>
      <c r="Y126" s="43">
        <v>0.5</v>
      </c>
      <c r="Z126" s="43" t="s">
        <v>146</v>
      </c>
      <c r="AA126" s="43" t="s">
        <v>118</v>
      </c>
      <c r="AB126" s="93"/>
      <c r="AC126" s="93"/>
      <c r="AD126" s="93"/>
      <c r="AE126" s="93"/>
      <c r="AF126" s="43">
        <v>0.98</v>
      </c>
      <c r="AG126" s="43" t="s">
        <v>119</v>
      </c>
      <c r="AH126" s="4">
        <v>4</v>
      </c>
      <c r="AI126" s="4">
        <v>0.08</v>
      </c>
      <c r="AJ126" s="4">
        <v>4</v>
      </c>
      <c r="AK126" s="4">
        <v>400</v>
      </c>
      <c r="AL126" s="60"/>
      <c r="AM126"/>
      <c r="AN126" s="50">
        <v>138.24</v>
      </c>
      <c r="AP126" s="8" t="s">
        <v>120</v>
      </c>
      <c r="AQ126" s="8" t="s">
        <v>120</v>
      </c>
      <c r="AR12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0.51681058769121002</v>
      </c>
      <c r="AS12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7.2524165231382443E-2</v>
      </c>
      <c r="AT12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0.02</v>
      </c>
      <c r="AU12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2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26" s="19" t="str">
        <f>IFERROR(Table1[[#This Row],[* Practice Efficiency]]*Table1[[#This Row],[* Load Before Treatment (kg/yr)]],"")</f>
        <v/>
      </c>
      <c r="AX126" s="100">
        <f>Table1[[#This Row],[Manually entered practice effiency ]]*Table1[[#This Row],[* Load Before Treatment (kg/yr)]]</f>
        <v>0</v>
      </c>
      <c r="AY126" s="43" t="s">
        <v>121</v>
      </c>
      <c r="BA126" s="101">
        <v>1</v>
      </c>
      <c r="BB12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126" s="44"/>
      <c r="BD126" s="44"/>
      <c r="BJ126" s="43"/>
      <c r="BK126" s="45"/>
      <c r="BL126" s="45"/>
      <c r="BM12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2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2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2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2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26" s="19" t="str">
        <f>IFERROR(Table1[[#This Row],[* Prior Practice Efficiency]]*Table1[[#This Row],[* Prior Load Before Treatment (kg/year)]],"")</f>
        <v/>
      </c>
      <c r="BT126" s="19" t="s">
        <v>440</v>
      </c>
    </row>
    <row r="127" spans="1:72">
      <c r="A127" s="43" t="s">
        <v>441</v>
      </c>
      <c r="B127" s="43" t="s">
        <v>436</v>
      </c>
      <c r="C127" s="43" t="s">
        <v>109</v>
      </c>
      <c r="D127" s="43" t="s">
        <v>110</v>
      </c>
      <c r="G127" s="44">
        <v>0.39</v>
      </c>
      <c r="H127" s="44">
        <v>0</v>
      </c>
      <c r="I127" s="44">
        <v>0.01</v>
      </c>
      <c r="J127" s="43" t="s">
        <v>437</v>
      </c>
      <c r="K127" s="66" t="s">
        <v>112</v>
      </c>
      <c r="N127" s="48"/>
      <c r="O127" s="43" t="s">
        <v>113</v>
      </c>
      <c r="Q127" s="43">
        <v>2018</v>
      </c>
      <c r="U127" s="43" t="s">
        <v>214</v>
      </c>
      <c r="V127" s="43" t="str">
        <f>IFERROR(VLOOKUP(Table1[[#This Row],[LC TMDL Drainage Area]],Dropdowns!$P$3:$Q$23,2,FALSE),"")</f>
        <v>Malletts Bay</v>
      </c>
      <c r="W127" s="43" t="s">
        <v>115</v>
      </c>
      <c r="X127" s="43" t="s">
        <v>141</v>
      </c>
      <c r="Y127" s="43">
        <v>0.12</v>
      </c>
      <c r="Z127" s="43" t="s">
        <v>146</v>
      </c>
      <c r="AA127" s="43" t="s">
        <v>118</v>
      </c>
      <c r="AB127" s="93"/>
      <c r="AC127" s="93"/>
      <c r="AD127" s="93"/>
      <c r="AE127" s="93"/>
      <c r="AF127" s="43">
        <v>0</v>
      </c>
      <c r="AG127" s="43" t="s">
        <v>119</v>
      </c>
      <c r="AH127" s="4"/>
      <c r="AI127" s="4"/>
      <c r="AJ127" s="4"/>
      <c r="AK127" s="4"/>
      <c r="AL127" s="60"/>
      <c r="AM127" s="148">
        <v>0.74</v>
      </c>
      <c r="AN127" s="59">
        <v>0</v>
      </c>
      <c r="AP127" s="8" t="s">
        <v>120</v>
      </c>
      <c r="AQ127" s="8" t="s">
        <v>120</v>
      </c>
      <c r="AR12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0.1240345410458904</v>
      </c>
      <c r="AS12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127"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12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2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27" s="19" t="str">
        <f>IFERROR(Table1[[#This Row],[* Practice Efficiency]]*Table1[[#This Row],[* Load Before Treatment (kg/yr)]],"")</f>
        <v/>
      </c>
      <c r="AX127" s="100">
        <f>Table1[[#This Row],[Manually entered practice effiency ]]*Table1[[#This Row],[* Load Before Treatment (kg/yr)]]</f>
        <v>9.1785560373958894E-2</v>
      </c>
      <c r="AY127" s="43" t="s">
        <v>121</v>
      </c>
      <c r="BA127" s="101">
        <v>1</v>
      </c>
      <c r="BB12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9.1785560373958894E-2</v>
      </c>
      <c r="BC127" s="44"/>
      <c r="BD127" s="44"/>
      <c r="BJ127" s="43"/>
      <c r="BK127" s="45"/>
      <c r="BL127" s="45"/>
      <c r="BM12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2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2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2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2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27" s="19" t="str">
        <f>IFERROR(Table1[[#This Row],[* Prior Practice Efficiency]]*Table1[[#This Row],[* Prior Load Before Treatment (kg/year)]],"")</f>
        <v/>
      </c>
      <c r="BT127" s="19"/>
    </row>
    <row r="128" spans="1:72">
      <c r="B128" s="43" t="s">
        <v>663</v>
      </c>
      <c r="C128" s="43" t="s">
        <v>109</v>
      </c>
      <c r="D128" s="43" t="s">
        <v>110</v>
      </c>
      <c r="E128" s="47">
        <v>44.412340999999998</v>
      </c>
      <c r="F128" s="47">
        <v>-73.211777877632898</v>
      </c>
      <c r="G128" s="44">
        <v>0</v>
      </c>
      <c r="H128" s="44">
        <v>0</v>
      </c>
      <c r="I128" s="44">
        <v>91.095676999999995</v>
      </c>
      <c r="J128" s="43" t="s">
        <v>162</v>
      </c>
      <c r="K128" s="203" t="s">
        <v>162</v>
      </c>
      <c r="N128" s="48"/>
      <c r="O128" s="43" t="s">
        <v>589</v>
      </c>
      <c r="P128" s="43" t="s">
        <v>660</v>
      </c>
      <c r="T128" s="43" t="s">
        <v>661</v>
      </c>
      <c r="U128" s="43" t="s">
        <v>499</v>
      </c>
      <c r="V128" s="43" t="s">
        <v>500</v>
      </c>
      <c r="W128" s="43" t="s">
        <v>115</v>
      </c>
      <c r="X128" s="43" t="s">
        <v>528</v>
      </c>
      <c r="Y128" s="43">
        <v>21.338872000000002</v>
      </c>
      <c r="Z128" s="43" t="s">
        <v>136</v>
      </c>
      <c r="AA128" s="43" t="s">
        <v>118</v>
      </c>
      <c r="AF128" s="43">
        <v>69.756804999999986</v>
      </c>
      <c r="AG128" s="43" t="s">
        <v>119</v>
      </c>
      <c r="AH128" s="203"/>
      <c r="AI128" s="203"/>
      <c r="AJ128" s="203"/>
      <c r="AK128" s="203"/>
      <c r="AL128" s="204"/>
      <c r="AN128" s="50">
        <v>23348.16</v>
      </c>
      <c r="AP128" s="205"/>
      <c r="AQ128" s="205"/>
      <c r="AR12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14.433450980537398</v>
      </c>
      <c r="AS12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0.24360975239353605</v>
      </c>
      <c r="AT12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2.0000000000000004E-2</v>
      </c>
      <c r="AU12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0.21804876196768019</v>
      </c>
      <c r="AV12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3.4360975239353601E-2</v>
      </c>
      <c r="AW128" s="19">
        <f>IFERROR(Table1[[#This Row],[* Practice Efficiency]]*Table1[[#This Row],[* Load Before Treatment (kg/yr)]],"")</f>
        <v>0.49594745176066946</v>
      </c>
      <c r="AX128" s="100">
        <v>0</v>
      </c>
      <c r="AY128" s="44" t="s">
        <v>121</v>
      </c>
      <c r="BA128" s="101">
        <v>1</v>
      </c>
      <c r="BB12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0.49594745176066946</v>
      </c>
      <c r="BC128" s="44"/>
      <c r="BD128" s="44"/>
      <c r="BJ128" s="43"/>
      <c r="BK128" s="45"/>
      <c r="BL128" s="45"/>
      <c r="BM12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2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2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2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2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28" s="19" t="str">
        <f>IFERROR(Table1[[#This Row],[* Prior Practice Efficiency]]*Table1[[#This Row],[* Prior Load Before Treatment (kg/year)]],"")</f>
        <v/>
      </c>
      <c r="BT128" s="19"/>
    </row>
    <row r="129" spans="1:72">
      <c r="A129" s="43" t="s">
        <v>532</v>
      </c>
      <c r="B129" s="43" t="s">
        <v>533</v>
      </c>
      <c r="C129" s="43" t="s">
        <v>109</v>
      </c>
      <c r="D129" s="43" t="s">
        <v>110</v>
      </c>
      <c r="E129" s="47">
        <v>44.809692248563799</v>
      </c>
      <c r="F129" s="47">
        <v>-73.064184657109308</v>
      </c>
      <c r="G129" s="44">
        <v>0</v>
      </c>
      <c r="H129" s="44">
        <v>0</v>
      </c>
      <c r="I129" s="44">
        <v>0.89557600000000004</v>
      </c>
      <c r="J129" s="43" t="s">
        <v>162</v>
      </c>
      <c r="K129" s="203" t="s">
        <v>162</v>
      </c>
      <c r="N129" s="48"/>
      <c r="O129" s="43" t="s">
        <v>113</v>
      </c>
      <c r="Q129" s="43">
        <v>2022</v>
      </c>
      <c r="T129" s="43" t="s">
        <v>163</v>
      </c>
      <c r="U129" s="43" t="s">
        <v>164</v>
      </c>
      <c r="V129" s="43" t="s">
        <v>527</v>
      </c>
      <c r="W129" s="43" t="s">
        <v>115</v>
      </c>
      <c r="X129" s="43" t="s">
        <v>165</v>
      </c>
      <c r="Y129" s="43">
        <v>0.41595199999999999</v>
      </c>
      <c r="Z129" s="43" t="s">
        <v>136</v>
      </c>
      <c r="AA129" s="43" t="s">
        <v>118</v>
      </c>
      <c r="AF129" s="43">
        <v>0.47962400000000005</v>
      </c>
      <c r="AG129" s="43" t="s">
        <v>119</v>
      </c>
      <c r="AH129" s="203"/>
      <c r="AI129" s="203"/>
      <c r="AJ129" s="203"/>
      <c r="AK129" s="203"/>
      <c r="AL129" s="204"/>
      <c r="AN129" s="50">
        <v>2468</v>
      </c>
      <c r="AP129" s="205"/>
      <c r="AQ129" s="205"/>
      <c r="AR12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0.29994009563945467</v>
      </c>
      <c r="AS12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1.1833629632205107</v>
      </c>
      <c r="AT12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12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0.36672592644102142</v>
      </c>
      <c r="AV12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0.58466903705764084</v>
      </c>
      <c r="AW129" s="19">
        <f>IFERROR(Table1[[#This Row],[* Practice Efficiency]]*Table1[[#This Row],[* Load Before Treatment (kg/yr)]],"")</f>
        <v>0.17536568689249665</v>
      </c>
      <c r="AX129" s="100">
        <v>0</v>
      </c>
      <c r="AY129" s="44" t="s">
        <v>121</v>
      </c>
      <c r="BA129" s="101">
        <v>1</v>
      </c>
      <c r="BB12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0.17536568689249665</v>
      </c>
      <c r="BC129" s="44"/>
      <c r="BD129" s="44"/>
      <c r="BJ129" s="43"/>
      <c r="BK129" s="45"/>
      <c r="BL129" s="45"/>
      <c r="BM12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2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2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2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2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29" s="19" t="str">
        <f>IFERROR(Table1[[#This Row],[* Prior Practice Efficiency]]*Table1[[#This Row],[* Prior Load Before Treatment (kg/year)]],"")</f>
        <v/>
      </c>
      <c r="BT129" s="19" t="s">
        <v>529</v>
      </c>
    </row>
    <row r="130" spans="1:72">
      <c r="A130" s="43" t="s">
        <v>534</v>
      </c>
      <c r="B130" s="43" t="s">
        <v>535</v>
      </c>
      <c r="C130" s="43" t="s">
        <v>109</v>
      </c>
      <c r="D130" s="43" t="s">
        <v>110</v>
      </c>
      <c r="E130" s="47">
        <v>44.808490933459041</v>
      </c>
      <c r="F130" s="47">
        <v>-73.064334165805462</v>
      </c>
      <c r="G130" s="44">
        <v>0</v>
      </c>
      <c r="H130" s="44">
        <v>0</v>
      </c>
      <c r="I130" s="44">
        <v>0.65100000000000002</v>
      </c>
      <c r="J130" s="43" t="s">
        <v>162</v>
      </c>
      <c r="K130" s="203" t="s">
        <v>162</v>
      </c>
      <c r="N130" s="48"/>
      <c r="O130" s="43" t="s">
        <v>113</v>
      </c>
      <c r="Q130" s="43">
        <v>2022</v>
      </c>
      <c r="T130" s="43" t="s">
        <v>163</v>
      </c>
      <c r="U130" s="43" t="s">
        <v>164</v>
      </c>
      <c r="V130" s="43" t="s">
        <v>527</v>
      </c>
      <c r="W130" s="43" t="s">
        <v>115</v>
      </c>
      <c r="X130" s="43" t="s">
        <v>165</v>
      </c>
      <c r="Y130" s="43">
        <v>0.29594599999999999</v>
      </c>
      <c r="Z130" s="43" t="s">
        <v>136</v>
      </c>
      <c r="AA130" s="43" t="s">
        <v>118</v>
      </c>
      <c r="AF130" s="43">
        <v>0.35505400000000004</v>
      </c>
      <c r="AG130" s="43" t="s">
        <v>119</v>
      </c>
      <c r="AH130" s="203"/>
      <c r="AI130" s="203"/>
      <c r="AJ130" s="203"/>
      <c r="AK130" s="203"/>
      <c r="AL130" s="204"/>
      <c r="AN130" s="50">
        <v>1881</v>
      </c>
      <c r="AP130" s="205"/>
      <c r="AQ130" s="205"/>
      <c r="AR13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0.21340460328142202</v>
      </c>
      <c r="AS13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1.2377510604522526</v>
      </c>
      <c r="AT13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13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0.47550212090450517</v>
      </c>
      <c r="AV13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0.58902008483618018</v>
      </c>
      <c r="AW130" s="19">
        <f>IFERROR(Table1[[#This Row],[* Practice Efficiency]]*Table1[[#This Row],[* Load Before Treatment (kg/yr)]],"")</f>
        <v>0.12569959752925458</v>
      </c>
      <c r="AX130" s="100">
        <v>0</v>
      </c>
      <c r="AY130" s="44" t="s">
        <v>121</v>
      </c>
      <c r="BA130" s="101">
        <v>1</v>
      </c>
      <c r="BB13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0.12569959752925458</v>
      </c>
      <c r="BC130" s="44"/>
      <c r="BD130" s="44"/>
      <c r="BJ130" s="43"/>
      <c r="BK130" s="45"/>
      <c r="BL130" s="45"/>
      <c r="BM13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3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3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3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3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30" s="19" t="str">
        <f>IFERROR(Table1[[#This Row],[* Prior Practice Efficiency]]*Table1[[#This Row],[* Prior Load Before Treatment (kg/year)]],"")</f>
        <v/>
      </c>
      <c r="BT130" s="19" t="s">
        <v>529</v>
      </c>
    </row>
    <row r="131" spans="1:72">
      <c r="A131" s="43" t="s">
        <v>131</v>
      </c>
      <c r="B131" s="43" t="s">
        <v>132</v>
      </c>
      <c r="C131" s="43" t="s">
        <v>109</v>
      </c>
      <c r="D131" s="43" t="s">
        <v>110</v>
      </c>
      <c r="G131" s="44">
        <v>0</v>
      </c>
      <c r="H131" s="44">
        <v>1.69</v>
      </c>
      <c r="J131" s="43" t="s">
        <v>133</v>
      </c>
      <c r="K131" s="66" t="s">
        <v>112</v>
      </c>
      <c r="N131" s="48"/>
      <c r="O131" s="43" t="s">
        <v>113</v>
      </c>
      <c r="Q131" s="43">
        <v>2010</v>
      </c>
      <c r="U131" s="43" t="s">
        <v>134</v>
      </c>
      <c r="V131" s="43" t="str">
        <f>IFERROR(VLOOKUP(Table1[[#This Row],[LC TMDL Drainage Area]],Dropdowns!$P$3:$Q$23,2,FALSE),"")</f>
        <v>Main Lake</v>
      </c>
      <c r="W131" s="43" t="s">
        <v>115</v>
      </c>
      <c r="X131" s="43" t="s">
        <v>135</v>
      </c>
      <c r="Y131" s="43">
        <v>1.69</v>
      </c>
      <c r="Z131" s="43" t="s">
        <v>136</v>
      </c>
      <c r="AA131" s="43" t="s">
        <v>118</v>
      </c>
      <c r="AG131" s="43" t="s">
        <v>119</v>
      </c>
      <c r="AH131" s="5"/>
      <c r="AI131" s="5"/>
      <c r="AJ131" s="4"/>
      <c r="AK131" s="4"/>
      <c r="AL131" s="60"/>
      <c r="AM131">
        <v>0.74</v>
      </c>
      <c r="AN131" s="59">
        <v>0</v>
      </c>
      <c r="AP131" s="8"/>
      <c r="AQ131" s="8" t="s">
        <v>120</v>
      </c>
      <c r="AR13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1.1099589705458452</v>
      </c>
      <c r="AS13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131"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13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3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31" s="19" t="str">
        <f>IFERROR(Table1[[#This Row],[* Practice Efficiency]]*Table1[[#This Row],[* Load Before Treatment (kg/yr)]],"")</f>
        <v/>
      </c>
      <c r="AX131" s="100">
        <f>Table1[[#This Row],[Manually entered practice effiency ]]*Table1[[#This Row],[* Load Before Treatment (kg/yr)]]</f>
        <v>0.8213696382039255</v>
      </c>
      <c r="AY131" s="43" t="s">
        <v>121</v>
      </c>
      <c r="BA131" s="101">
        <v>1</v>
      </c>
      <c r="BB13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0.8213696382039255</v>
      </c>
      <c r="BC131" s="44"/>
      <c r="BD131" s="44"/>
      <c r="BJ131" s="43"/>
      <c r="BK131" s="45"/>
      <c r="BL131" s="45"/>
      <c r="BM13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3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3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3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3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31" s="19" t="str">
        <f>IFERROR(Table1[[#This Row],[* Prior Practice Efficiency]]*Table1[[#This Row],[* Prior Load Before Treatment (kg/year)]],"")</f>
        <v/>
      </c>
      <c r="BT131" s="19" t="s">
        <v>137</v>
      </c>
    </row>
    <row r="132" spans="1:72">
      <c r="A132" s="43" t="s">
        <v>442</v>
      </c>
      <c r="B132" s="43" t="s">
        <v>443</v>
      </c>
      <c r="C132" s="43" t="s">
        <v>109</v>
      </c>
      <c r="D132" s="43" t="s">
        <v>110</v>
      </c>
      <c r="G132" s="44">
        <v>0.9</v>
      </c>
      <c r="H132" s="44">
        <v>0</v>
      </c>
      <c r="I132" s="44">
        <v>1.52</v>
      </c>
      <c r="J132" s="43" t="s">
        <v>444</v>
      </c>
      <c r="K132" s="66" t="s">
        <v>112</v>
      </c>
      <c r="N132" s="48"/>
      <c r="O132" s="43" t="s">
        <v>113</v>
      </c>
      <c r="Q132" s="43">
        <v>2018</v>
      </c>
      <c r="U132" s="43" t="s">
        <v>134</v>
      </c>
      <c r="V132" s="43" t="str">
        <f>IFERROR(VLOOKUP(Table1[[#This Row],[LC TMDL Drainage Area]],Dropdowns!$P$3:$Q$23,2,FALSE),"")</f>
        <v>Main Lake</v>
      </c>
      <c r="W132" s="43" t="s">
        <v>115</v>
      </c>
      <c r="X132" s="43" t="s">
        <v>124</v>
      </c>
      <c r="Y132" s="43">
        <v>1.01</v>
      </c>
      <c r="Z132" s="43" t="s">
        <v>136</v>
      </c>
      <c r="AA132" s="43" t="s">
        <v>118</v>
      </c>
      <c r="AB132" s="93"/>
      <c r="AC132" s="93"/>
      <c r="AD132" s="93"/>
      <c r="AE132" s="93"/>
      <c r="AF132" s="43">
        <v>0.51</v>
      </c>
      <c r="AG132" s="43" t="s">
        <v>119</v>
      </c>
      <c r="AH132" s="4">
        <v>2</v>
      </c>
      <c r="AI132" s="4">
        <v>0.34</v>
      </c>
      <c r="AJ132" s="4">
        <v>3</v>
      </c>
      <c r="AK132" s="4">
        <v>300</v>
      </c>
      <c r="AL132" s="60"/>
      <c r="AM132"/>
      <c r="AN132" s="50">
        <v>308.04000000000002</v>
      </c>
      <c r="AP132" s="8" t="s">
        <v>120</v>
      </c>
      <c r="AQ132" s="8" t="s">
        <v>120</v>
      </c>
      <c r="AR13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0.66334826050372997</v>
      </c>
      <c r="AS13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8.2829602819986553E-2</v>
      </c>
      <c r="AT13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0.02</v>
      </c>
      <c r="AU13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3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32" s="19" t="str">
        <f>IFERROR(Table1[[#This Row],[* Practice Efficiency]]*Table1[[#This Row],[* Load Before Treatment (kg/yr)]],"")</f>
        <v/>
      </c>
      <c r="AX132" s="100">
        <f>Table1[[#This Row],[Manually entered practice effiency ]]*Table1[[#This Row],[* Load Before Treatment (kg/yr)]]</f>
        <v>0</v>
      </c>
      <c r="AY132" s="43" t="s">
        <v>121</v>
      </c>
      <c r="BA132" s="101">
        <v>1</v>
      </c>
      <c r="BB13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132" s="44"/>
      <c r="BD132" s="44"/>
      <c r="BJ132" s="43"/>
      <c r="BK132" s="45"/>
      <c r="BL132" s="45"/>
      <c r="BM13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3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3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3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3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32" s="19" t="str">
        <f>IFERROR(Table1[[#This Row],[* Prior Practice Efficiency]]*Table1[[#This Row],[* Prior Load Before Treatment (kg/year)]],"")</f>
        <v/>
      </c>
      <c r="BT132" s="19"/>
    </row>
    <row r="133" spans="1:72">
      <c r="A133" s="43" t="s">
        <v>484</v>
      </c>
      <c r="B133" s="43" t="s">
        <v>443</v>
      </c>
      <c r="C133" s="43" t="s">
        <v>109</v>
      </c>
      <c r="D133" s="43" t="s">
        <v>110</v>
      </c>
      <c r="J133" s="43" t="s">
        <v>444</v>
      </c>
      <c r="K133" s="66" t="s">
        <v>129</v>
      </c>
      <c r="N133" s="48"/>
      <c r="O133" s="43" t="s">
        <v>113</v>
      </c>
      <c r="Q133" s="43">
        <v>2019</v>
      </c>
      <c r="U133" s="43" t="s">
        <v>134</v>
      </c>
      <c r="V133" s="43" t="str">
        <f>IFERROR(VLOOKUP(Table1[[#This Row],[LC TMDL Drainage Area]],Dropdowns!$P$3:$Q$23,2,FALSE),"")</f>
        <v>Main Lake</v>
      </c>
      <c r="W133" s="43" t="s">
        <v>115</v>
      </c>
      <c r="X133" s="43" t="s">
        <v>141</v>
      </c>
      <c r="Y133" s="43">
        <v>0.59</v>
      </c>
      <c r="Z133" s="43" t="s">
        <v>136</v>
      </c>
      <c r="AA133" s="43" t="s">
        <v>118</v>
      </c>
      <c r="AB133" s="93"/>
      <c r="AC133" s="93"/>
      <c r="AD133" s="93"/>
      <c r="AE133" s="93"/>
      <c r="AF133" s="43">
        <v>0</v>
      </c>
      <c r="AG133" s="43" t="s">
        <v>119</v>
      </c>
      <c r="AH133" s="4"/>
      <c r="AI133" s="4"/>
      <c r="AJ133" s="4"/>
      <c r="AK133" s="4"/>
      <c r="AL133" s="60"/>
      <c r="AM133" s="148">
        <v>0.59</v>
      </c>
      <c r="AN133" s="50">
        <v>0</v>
      </c>
      <c r="AP133" s="8" t="s">
        <v>155</v>
      </c>
      <c r="AQ133" s="8" t="s">
        <v>155</v>
      </c>
      <c r="AR13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0.38750046900712937</v>
      </c>
      <c r="AS13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133"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13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3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33" s="19" t="str">
        <f>IFERROR(Table1[[#This Row],[* Practice Efficiency]]*Table1[[#This Row],[* Load Before Treatment (kg/yr)]],"")</f>
        <v/>
      </c>
      <c r="AX133" s="100">
        <f>Table1[[#This Row],[Manually entered practice effiency ]]*Table1[[#This Row],[* Load Before Treatment (kg/yr)]]</f>
        <v>0.22862527671420632</v>
      </c>
      <c r="AY133" s="43" t="s">
        <v>121</v>
      </c>
      <c r="BA133" s="101">
        <v>1</v>
      </c>
      <c r="BB13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0.22862527671420632</v>
      </c>
      <c r="BC133" s="44"/>
      <c r="BD133" s="44"/>
      <c r="BJ133" s="43"/>
      <c r="BK133" s="45"/>
      <c r="BL133" s="45"/>
      <c r="BM13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3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3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3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3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33" s="19" t="str">
        <f>IFERROR(Table1[[#This Row],[* Prior Practice Efficiency]]*Table1[[#This Row],[* Prior Load Before Treatment (kg/year)]],"")</f>
        <v/>
      </c>
      <c r="BT133" s="19"/>
    </row>
    <row r="134" spans="1:72">
      <c r="A134" s="43" t="s">
        <v>385</v>
      </c>
      <c r="B134" s="43" t="s">
        <v>386</v>
      </c>
      <c r="C134" s="43" t="s">
        <v>109</v>
      </c>
      <c r="D134" s="43" t="s">
        <v>110</v>
      </c>
      <c r="G134" s="44">
        <v>0.12</v>
      </c>
      <c r="H134" s="44">
        <v>0</v>
      </c>
      <c r="I134" s="44">
        <v>1.72</v>
      </c>
      <c r="J134" s="43" t="s">
        <v>387</v>
      </c>
      <c r="K134" s="66" t="s">
        <v>112</v>
      </c>
      <c r="N134" s="48"/>
      <c r="O134" s="43" t="s">
        <v>113</v>
      </c>
      <c r="Q134" s="43">
        <v>2017</v>
      </c>
      <c r="U134" s="43" t="s">
        <v>214</v>
      </c>
      <c r="V134" s="43" t="str">
        <f>IFERROR(VLOOKUP(Table1[[#This Row],[LC TMDL Drainage Area]],Dropdowns!$P$3:$Q$23,2,FALSE),"")</f>
        <v>Malletts Bay</v>
      </c>
      <c r="W134" s="43" t="s">
        <v>115</v>
      </c>
      <c r="X134" s="43" t="s">
        <v>124</v>
      </c>
      <c r="Y134" s="43">
        <v>0.12</v>
      </c>
      <c r="Z134" s="43" t="s">
        <v>136</v>
      </c>
      <c r="AA134" s="43" t="s">
        <v>118</v>
      </c>
      <c r="AB134" s="93"/>
      <c r="AC134" s="93"/>
      <c r="AD134" s="93"/>
      <c r="AE134" s="93"/>
      <c r="AF134" s="43">
        <v>1.6</v>
      </c>
      <c r="AG134" s="43" t="s">
        <v>119</v>
      </c>
      <c r="AH134" s="4">
        <v>2</v>
      </c>
      <c r="AI134" s="4">
        <v>0.09</v>
      </c>
      <c r="AJ134" s="4">
        <v>5.65</v>
      </c>
      <c r="AK134" s="4">
        <v>200</v>
      </c>
      <c r="AL134" s="60">
        <v>197</v>
      </c>
      <c r="AM134"/>
      <c r="AN134" s="50">
        <v>45.152999999999999</v>
      </c>
      <c r="AP134" s="8" t="s">
        <v>120</v>
      </c>
      <c r="AQ134" s="8" t="s">
        <v>120</v>
      </c>
      <c r="AR13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8.0045705349521726E-2</v>
      </c>
      <c r="AS13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7.64486470580302E-2</v>
      </c>
      <c r="AT13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0.02</v>
      </c>
      <c r="AU13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3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34" s="19" t="str">
        <f>IFERROR(Table1[[#This Row],[* Practice Efficiency]]*Table1[[#This Row],[* Load Before Treatment (kg/yr)]],"")</f>
        <v/>
      </c>
      <c r="AX134" s="100">
        <f>Table1[[#This Row],[Manually entered practice effiency ]]*Table1[[#This Row],[* Load Before Treatment (kg/yr)]]</f>
        <v>0</v>
      </c>
      <c r="AY134" s="43" t="s">
        <v>121</v>
      </c>
      <c r="BA134" s="101">
        <v>1</v>
      </c>
      <c r="BB13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134" s="44"/>
      <c r="BD134" s="44"/>
      <c r="BJ134" s="43"/>
      <c r="BK134" s="45"/>
      <c r="BL134" s="45"/>
      <c r="BM13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3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3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3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3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34" s="19" t="str">
        <f>IFERROR(Table1[[#This Row],[* Prior Practice Efficiency]]*Table1[[#This Row],[* Prior Load Before Treatment (kg/year)]],"")</f>
        <v/>
      </c>
      <c r="BT134" s="19"/>
    </row>
    <row r="135" spans="1:72">
      <c r="A135" s="43" t="s">
        <v>388</v>
      </c>
      <c r="B135" s="43" t="s">
        <v>386</v>
      </c>
      <c r="C135" s="43" t="s">
        <v>109</v>
      </c>
      <c r="D135" s="43" t="s">
        <v>110</v>
      </c>
      <c r="G135" s="44">
        <v>0.19</v>
      </c>
      <c r="H135" s="44">
        <v>0</v>
      </c>
      <c r="I135" s="44">
        <v>1.1299999999999999</v>
      </c>
      <c r="J135" s="43" t="s">
        <v>387</v>
      </c>
      <c r="K135" s="66" t="s">
        <v>129</v>
      </c>
      <c r="N135" s="48"/>
      <c r="O135" s="43" t="s">
        <v>113</v>
      </c>
      <c r="Q135" s="43">
        <v>2017</v>
      </c>
      <c r="U135" s="43" t="s">
        <v>214</v>
      </c>
      <c r="V135" s="43" t="str">
        <f>IFERROR(VLOOKUP(Table1[[#This Row],[LC TMDL Drainage Area]],Dropdowns!$P$3:$Q$23,2,FALSE),"")</f>
        <v>Malletts Bay</v>
      </c>
      <c r="W135" s="43" t="s">
        <v>115</v>
      </c>
      <c r="X135" s="43" t="s">
        <v>124</v>
      </c>
      <c r="Y135" s="43">
        <v>0.19</v>
      </c>
      <c r="Z135" s="43" t="s">
        <v>136</v>
      </c>
      <c r="AA135" s="43" t="s">
        <v>118</v>
      </c>
      <c r="AB135" s="93"/>
      <c r="AC135" s="93"/>
      <c r="AD135" s="93"/>
      <c r="AE135" s="93"/>
      <c r="AF135" s="43">
        <v>0.94</v>
      </c>
      <c r="AG135" s="43" t="s">
        <v>119</v>
      </c>
      <c r="AH135" s="4">
        <v>2</v>
      </c>
      <c r="AI135" s="4">
        <v>0.15</v>
      </c>
      <c r="AJ135" s="4">
        <v>2.52</v>
      </c>
      <c r="AK135" s="4">
        <v>300</v>
      </c>
      <c r="AL135" s="60">
        <v>214</v>
      </c>
      <c r="AM135"/>
      <c r="AN135" s="50">
        <v>107.01</v>
      </c>
      <c r="AP135" s="8" t="s">
        <v>120</v>
      </c>
      <c r="AQ135" s="8" t="s">
        <v>120</v>
      </c>
      <c r="AR13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0.12673903347007609</v>
      </c>
      <c r="AS13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0.12893401221006415</v>
      </c>
      <c r="AT13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13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0.28934012210064142</v>
      </c>
      <c r="AV13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8.6802036630192429E-3</v>
      </c>
      <c r="AW135" s="19">
        <f>IFERROR(Table1[[#This Row],[* Practice Efficiency]]*Table1[[#This Row],[* Load Before Treatment (kg/yr)]],"")</f>
        <v>1.1001206225744729E-3</v>
      </c>
      <c r="AX135" s="100">
        <f>Table1[[#This Row],[Manually entered practice effiency ]]*Table1[[#This Row],[* Load Before Treatment (kg/yr)]]</f>
        <v>0</v>
      </c>
      <c r="AY135" s="43" t="s">
        <v>121</v>
      </c>
      <c r="BA135" s="101">
        <v>1</v>
      </c>
      <c r="BB13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1.1001206225744729E-3</v>
      </c>
      <c r="BC135" s="44"/>
      <c r="BD135" s="44"/>
      <c r="BJ135" s="43"/>
      <c r="BK135" s="45"/>
      <c r="BL135" s="45"/>
      <c r="BM13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3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3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3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3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35" s="19" t="str">
        <f>IFERROR(Table1[[#This Row],[* Prior Practice Efficiency]]*Table1[[#This Row],[* Prior Load Before Treatment (kg/year)]],"")</f>
        <v/>
      </c>
      <c r="BT135" s="19"/>
    </row>
    <row r="136" spans="1:72">
      <c r="A136" s="43" t="s">
        <v>389</v>
      </c>
      <c r="B136" s="43" t="s">
        <v>386</v>
      </c>
      <c r="C136" s="43" t="s">
        <v>109</v>
      </c>
      <c r="D136" s="43" t="s">
        <v>110</v>
      </c>
      <c r="G136" s="44">
        <v>0.27</v>
      </c>
      <c r="H136" s="44">
        <v>0</v>
      </c>
      <c r="I136" s="44">
        <v>0.97</v>
      </c>
      <c r="J136" s="43" t="s">
        <v>387</v>
      </c>
      <c r="K136" s="66" t="s">
        <v>390</v>
      </c>
      <c r="N136" s="48"/>
      <c r="O136" s="43" t="s">
        <v>113</v>
      </c>
      <c r="Q136" s="43">
        <v>2017</v>
      </c>
      <c r="U136" s="43" t="s">
        <v>214</v>
      </c>
      <c r="V136" s="43" t="str">
        <f>IFERROR(VLOOKUP(Table1[[#This Row],[LC TMDL Drainage Area]],Dropdowns!$P$3:$Q$23,2,FALSE),"")</f>
        <v>Malletts Bay</v>
      </c>
      <c r="W136" s="43" t="s">
        <v>115</v>
      </c>
      <c r="X136" s="43" t="s">
        <v>124</v>
      </c>
      <c r="Y136" s="43">
        <v>0.27</v>
      </c>
      <c r="Z136" s="43" t="s">
        <v>136</v>
      </c>
      <c r="AA136" s="43" t="s">
        <v>118</v>
      </c>
      <c r="AB136" s="93"/>
      <c r="AC136" s="93"/>
      <c r="AD136" s="93"/>
      <c r="AE136" s="93"/>
      <c r="AF136" s="43">
        <v>0.7</v>
      </c>
      <c r="AG136" s="43" t="s">
        <v>119</v>
      </c>
      <c r="AH136" s="4">
        <v>2</v>
      </c>
      <c r="AI136" s="4">
        <v>0.3</v>
      </c>
      <c r="AJ136" s="4">
        <v>2.85</v>
      </c>
      <c r="AK136" s="4">
        <v>350</v>
      </c>
      <c r="AL136" s="60">
        <v>197</v>
      </c>
      <c r="AM136"/>
      <c r="AN136" s="50">
        <v>299.77499999999998</v>
      </c>
      <c r="AP136" s="8" t="s">
        <v>120</v>
      </c>
      <c r="AQ136" s="8" t="s">
        <v>120</v>
      </c>
      <c r="AR13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0.18010283703642391</v>
      </c>
      <c r="AS13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0.2555806758696153</v>
      </c>
      <c r="AT13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13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0.27790337934807646</v>
      </c>
      <c r="AV13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3.111613517392306E-2</v>
      </c>
      <c r="AW136" s="19">
        <f>IFERROR(Table1[[#This Row],[* Practice Efficiency]]*Table1[[#This Row],[* Load Before Treatment (kg/yr)]],"")</f>
        <v>5.6041042224324027E-3</v>
      </c>
      <c r="AX136" s="100">
        <f>Table1[[#This Row],[Manually entered practice effiency ]]*Table1[[#This Row],[* Load Before Treatment (kg/yr)]]</f>
        <v>0</v>
      </c>
      <c r="AY136" s="43" t="s">
        <v>121</v>
      </c>
      <c r="BA136" s="101">
        <v>1</v>
      </c>
      <c r="BB13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5.6041042224324027E-3</v>
      </c>
      <c r="BC136" s="44"/>
      <c r="BD136" s="44"/>
      <c r="BJ136" s="43"/>
      <c r="BK136" s="45"/>
      <c r="BL136" s="45"/>
      <c r="BM13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3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3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3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3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36" s="19" t="str">
        <f>IFERROR(Table1[[#This Row],[* Prior Practice Efficiency]]*Table1[[#This Row],[* Prior Load Before Treatment (kg/year)]],"")</f>
        <v/>
      </c>
      <c r="BT136" s="19"/>
    </row>
    <row r="137" spans="1:72">
      <c r="A137" s="43" t="s">
        <v>391</v>
      </c>
      <c r="B137" s="43" t="s">
        <v>386</v>
      </c>
      <c r="C137" s="43" t="s">
        <v>109</v>
      </c>
      <c r="D137" s="43" t="s">
        <v>110</v>
      </c>
      <c r="G137" s="44">
        <v>0.21</v>
      </c>
      <c r="H137" s="44">
        <v>0</v>
      </c>
      <c r="I137" s="44">
        <v>0.43</v>
      </c>
      <c r="J137" s="43" t="s">
        <v>387</v>
      </c>
      <c r="K137" s="66" t="s">
        <v>154</v>
      </c>
      <c r="N137" s="48"/>
      <c r="O137" s="43" t="s">
        <v>113</v>
      </c>
      <c r="Q137" s="43">
        <v>2017</v>
      </c>
      <c r="U137" s="43" t="s">
        <v>214</v>
      </c>
      <c r="V137" s="43" t="str">
        <f>IFERROR(VLOOKUP(Table1[[#This Row],[LC TMDL Drainage Area]],Dropdowns!$P$3:$Q$23,2,FALSE),"")</f>
        <v>Malletts Bay</v>
      </c>
      <c r="W137" s="43" t="s">
        <v>115</v>
      </c>
      <c r="X137" s="43" t="s">
        <v>124</v>
      </c>
      <c r="Y137" s="43">
        <v>0.22</v>
      </c>
      <c r="Z137" s="43" t="s">
        <v>136</v>
      </c>
      <c r="AA137" s="43" t="s">
        <v>118</v>
      </c>
      <c r="AB137" s="93"/>
      <c r="AC137" s="93"/>
      <c r="AD137" s="93"/>
      <c r="AE137" s="93"/>
      <c r="AF137" s="43">
        <v>0.21</v>
      </c>
      <c r="AG137" s="43" t="s">
        <v>119</v>
      </c>
      <c r="AH137" s="4">
        <v>2</v>
      </c>
      <c r="AI137" s="4">
        <v>0.24</v>
      </c>
      <c r="AJ137" s="4">
        <v>2</v>
      </c>
      <c r="AK137" s="4">
        <v>300</v>
      </c>
      <c r="AL137" s="60">
        <v>280</v>
      </c>
      <c r="AM137"/>
      <c r="AN137" s="50">
        <v>178.55999999999997</v>
      </c>
      <c r="AP137" s="8" t="s">
        <v>120</v>
      </c>
      <c r="AQ137" s="8" t="s">
        <v>120</v>
      </c>
      <c r="AR13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0.14675045980745652</v>
      </c>
      <c r="AS13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0.21079703376184999</v>
      </c>
      <c r="AT13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13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5.3985168809249917E-2</v>
      </c>
      <c r="AV13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2.2159406752369996E-2</v>
      </c>
      <c r="AW137" s="19">
        <f>IFERROR(Table1[[#This Row],[* Practice Efficiency]]*Table1[[#This Row],[* Load Before Treatment (kg/yr)]],"")</f>
        <v>3.2519031299707538E-3</v>
      </c>
      <c r="AX137" s="100">
        <f>Table1[[#This Row],[Manually entered practice effiency ]]*Table1[[#This Row],[* Load Before Treatment (kg/yr)]]</f>
        <v>0</v>
      </c>
      <c r="AY137" s="43" t="s">
        <v>121</v>
      </c>
      <c r="BA137" s="101">
        <v>1</v>
      </c>
      <c r="BB13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3.2519031299707538E-3</v>
      </c>
      <c r="BC137" s="44"/>
      <c r="BD137" s="44"/>
      <c r="BJ137" s="43"/>
      <c r="BK137" s="45"/>
      <c r="BL137" s="45"/>
      <c r="BM13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3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3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3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3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37" s="19" t="str">
        <f>IFERROR(Table1[[#This Row],[* Prior Practice Efficiency]]*Table1[[#This Row],[* Prior Load Before Treatment (kg/year)]],"")</f>
        <v/>
      </c>
      <c r="BT137" s="19"/>
    </row>
    <row r="138" spans="1:72">
      <c r="A138" s="43" t="s">
        <v>392</v>
      </c>
      <c r="B138" s="43" t="s">
        <v>386</v>
      </c>
      <c r="C138" s="43" t="s">
        <v>109</v>
      </c>
      <c r="D138" s="43" t="s">
        <v>110</v>
      </c>
      <c r="G138" s="44">
        <v>0.2</v>
      </c>
      <c r="H138" s="44">
        <v>0</v>
      </c>
      <c r="I138" s="44">
        <v>0.38</v>
      </c>
      <c r="J138" s="43" t="s">
        <v>387</v>
      </c>
      <c r="K138" s="66" t="s">
        <v>157</v>
      </c>
      <c r="N138" s="48"/>
      <c r="O138" s="43" t="s">
        <v>113</v>
      </c>
      <c r="Q138" s="43">
        <v>2017</v>
      </c>
      <c r="U138" s="43" t="s">
        <v>214</v>
      </c>
      <c r="V138" s="43" t="str">
        <f>IFERROR(VLOOKUP(Table1[[#This Row],[LC TMDL Drainage Area]],Dropdowns!$P$3:$Q$23,2,FALSE),"")</f>
        <v>Malletts Bay</v>
      </c>
      <c r="W138" s="43" t="s">
        <v>115</v>
      </c>
      <c r="X138" s="43" t="s">
        <v>124</v>
      </c>
      <c r="Y138" s="43">
        <v>0.23</v>
      </c>
      <c r="Z138" s="43" t="s">
        <v>136</v>
      </c>
      <c r="AA138" s="43" t="s">
        <v>118</v>
      </c>
      <c r="AB138" s="93"/>
      <c r="AC138" s="93"/>
      <c r="AD138" s="93"/>
      <c r="AE138" s="93"/>
      <c r="AF138" s="43">
        <v>0.15</v>
      </c>
      <c r="AG138" s="43" t="s">
        <v>119</v>
      </c>
      <c r="AH138" s="4">
        <v>2</v>
      </c>
      <c r="AI138" s="4">
        <v>0.25</v>
      </c>
      <c r="AJ138" s="4">
        <v>2</v>
      </c>
      <c r="AK138" s="4">
        <v>290</v>
      </c>
      <c r="AL138" s="60">
        <v>250</v>
      </c>
      <c r="AM138"/>
      <c r="AN138" s="50">
        <v>181.25</v>
      </c>
      <c r="AP138" s="8" t="s">
        <v>120</v>
      </c>
      <c r="AQ138" s="8" t="s">
        <v>120</v>
      </c>
      <c r="AR13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0.15342093525324998</v>
      </c>
      <c r="AS13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0.20852918972739215</v>
      </c>
      <c r="AT13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13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4.2645948636960695E-2</v>
      </c>
      <c r="AV13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2.1705837945478427E-2</v>
      </c>
      <c r="AW138" s="19">
        <f>IFERROR(Table1[[#This Row],[* Practice Efficiency]]*Table1[[#This Row],[* Load Before Treatment (kg/yr)]],"")</f>
        <v>3.3301299580507822E-3</v>
      </c>
      <c r="AX138" s="100">
        <f>Table1[[#This Row],[Manually entered practice effiency ]]*Table1[[#This Row],[* Load Before Treatment (kg/yr)]]</f>
        <v>0</v>
      </c>
      <c r="AY138" s="43" t="s">
        <v>121</v>
      </c>
      <c r="BA138" s="101">
        <v>1</v>
      </c>
      <c r="BB13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3.3301299580507822E-3</v>
      </c>
      <c r="BC138" s="44"/>
      <c r="BD138" s="44"/>
      <c r="BJ138" s="43"/>
      <c r="BK138" s="45"/>
      <c r="BL138" s="45"/>
      <c r="BM13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3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3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3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3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38" s="19" t="str">
        <f>IFERROR(Table1[[#This Row],[* Prior Practice Efficiency]]*Table1[[#This Row],[* Prior Load Before Treatment (kg/year)]],"")</f>
        <v/>
      </c>
      <c r="BT138" s="19"/>
    </row>
    <row r="139" spans="1:72">
      <c r="A139" s="43" t="s">
        <v>393</v>
      </c>
      <c r="B139" s="43" t="s">
        <v>386</v>
      </c>
      <c r="C139" s="43" t="s">
        <v>109</v>
      </c>
      <c r="D139" s="43" t="s">
        <v>110</v>
      </c>
      <c r="G139" s="44">
        <v>0.08</v>
      </c>
      <c r="H139" s="44">
        <v>0</v>
      </c>
      <c r="I139" s="44">
        <v>0.18</v>
      </c>
      <c r="J139" s="43" t="s">
        <v>387</v>
      </c>
      <c r="K139" s="66" t="s">
        <v>159</v>
      </c>
      <c r="N139" s="48"/>
      <c r="O139" s="43" t="s">
        <v>113</v>
      </c>
      <c r="Q139" s="43">
        <v>2017</v>
      </c>
      <c r="U139" s="43" t="s">
        <v>214</v>
      </c>
      <c r="V139" s="43" t="str">
        <f>IFERROR(VLOOKUP(Table1[[#This Row],[LC TMDL Drainage Area]],Dropdowns!$P$3:$Q$23,2,FALSE),"")</f>
        <v>Malletts Bay</v>
      </c>
      <c r="W139" s="43" t="s">
        <v>115</v>
      </c>
      <c r="X139" s="43" t="s">
        <v>124</v>
      </c>
      <c r="Y139" s="43">
        <v>0.12</v>
      </c>
      <c r="Z139" s="43" t="s">
        <v>136</v>
      </c>
      <c r="AA139" s="43" t="s">
        <v>118</v>
      </c>
      <c r="AB139" s="93"/>
      <c r="AC139" s="93"/>
      <c r="AD139" s="93"/>
      <c r="AE139" s="93"/>
      <c r="AF139" s="43">
        <v>0.06</v>
      </c>
      <c r="AG139" s="43" t="s">
        <v>119</v>
      </c>
      <c r="AH139" s="4">
        <v>2</v>
      </c>
      <c r="AI139" s="4">
        <v>0.16</v>
      </c>
      <c r="AJ139" s="4">
        <v>2</v>
      </c>
      <c r="AK139" s="4">
        <v>160</v>
      </c>
      <c r="AL139" s="60">
        <v>160</v>
      </c>
      <c r="AM139"/>
      <c r="AN139" s="50">
        <v>59.391999999999996</v>
      </c>
      <c r="AP139" s="8" t="s">
        <v>120</v>
      </c>
      <c r="AQ139" s="8" t="s">
        <v>120</v>
      </c>
      <c r="AR13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8.0045705349521726E-2</v>
      </c>
      <c r="AS13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0.13351712435750951</v>
      </c>
      <c r="AT13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13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0.33517124357509503</v>
      </c>
      <c r="AV13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1.0055137307252852E-2</v>
      </c>
      <c r="AW139" s="19">
        <f>IFERROR(Table1[[#This Row],[* Practice Efficiency]]*Table1[[#This Row],[* Load Before Treatment (kg/yr)]],"")</f>
        <v>8.0487055814534511E-4</v>
      </c>
      <c r="AX139" s="100">
        <f>Table1[[#This Row],[Manually entered practice effiency ]]*Table1[[#This Row],[* Load Before Treatment (kg/yr)]]</f>
        <v>0</v>
      </c>
      <c r="AY139" s="43" t="s">
        <v>121</v>
      </c>
      <c r="BA139" s="101">
        <v>1</v>
      </c>
      <c r="BB13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8.0487055814534511E-4</v>
      </c>
      <c r="BC139" s="44"/>
      <c r="BD139" s="44"/>
      <c r="BJ139" s="43"/>
      <c r="BK139" s="45"/>
      <c r="BL139" s="45"/>
      <c r="BM13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3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3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3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3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39" s="19" t="str">
        <f>IFERROR(Table1[[#This Row],[* Prior Practice Efficiency]]*Table1[[#This Row],[* Prior Load Before Treatment (kg/year)]],"")</f>
        <v/>
      </c>
      <c r="BT139" s="19"/>
    </row>
    <row r="140" spans="1:72">
      <c r="A140" s="43" t="s">
        <v>394</v>
      </c>
      <c r="B140" s="43" t="s">
        <v>386</v>
      </c>
      <c r="C140" s="43" t="s">
        <v>109</v>
      </c>
      <c r="D140" s="43" t="s">
        <v>110</v>
      </c>
      <c r="G140" s="44">
        <v>0.2</v>
      </c>
      <c r="H140" s="44">
        <v>0</v>
      </c>
      <c r="I140" s="44">
        <v>0.42</v>
      </c>
      <c r="J140" s="43" t="s">
        <v>387</v>
      </c>
      <c r="K140" s="66" t="s">
        <v>260</v>
      </c>
      <c r="N140" s="48"/>
      <c r="O140" s="43" t="s">
        <v>113</v>
      </c>
      <c r="Q140" s="43">
        <v>2017</v>
      </c>
      <c r="U140" s="43" t="s">
        <v>214</v>
      </c>
      <c r="V140" s="43" t="str">
        <f>IFERROR(VLOOKUP(Table1[[#This Row],[LC TMDL Drainage Area]],Dropdowns!$P$3:$Q$23,2,FALSE),"")</f>
        <v>Malletts Bay</v>
      </c>
      <c r="W140" s="43" t="s">
        <v>115</v>
      </c>
      <c r="X140" s="43" t="s">
        <v>124</v>
      </c>
      <c r="Y140" s="43">
        <v>0.16</v>
      </c>
      <c r="Z140" s="43" t="s">
        <v>136</v>
      </c>
      <c r="AA140" s="43" t="s">
        <v>118</v>
      </c>
      <c r="AB140" s="93"/>
      <c r="AC140" s="93"/>
      <c r="AD140" s="93"/>
      <c r="AE140" s="93"/>
      <c r="AF140" s="43">
        <v>0.26</v>
      </c>
      <c r="AG140" s="43" t="s">
        <v>119</v>
      </c>
      <c r="AH140" s="4">
        <v>2</v>
      </c>
      <c r="AI140" s="4">
        <v>0.25</v>
      </c>
      <c r="AJ140" s="4">
        <v>2</v>
      </c>
      <c r="AK140" s="4">
        <v>203</v>
      </c>
      <c r="AL140" s="60">
        <v>215</v>
      </c>
      <c r="AM140"/>
      <c r="AN140" s="50">
        <v>126.875</v>
      </c>
      <c r="AP140" s="8" t="s">
        <v>120</v>
      </c>
      <c r="AQ140" s="8" t="s">
        <v>196</v>
      </c>
      <c r="AR14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0.10672760713269565</v>
      </c>
      <c r="AS14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0.19894480931079295</v>
      </c>
      <c r="AT14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14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0.98944809310792936</v>
      </c>
      <c r="AV14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2.9683442793237882E-2</v>
      </c>
      <c r="AW140" s="19">
        <f>IFERROR(Table1[[#This Row],[* Practice Efficiency]]*Table1[[#This Row],[* Load Before Treatment (kg/yr)]],"")</f>
        <v>3.1680428207825385E-3</v>
      </c>
      <c r="AX140" s="100">
        <f>Table1[[#This Row],[Manually entered practice effiency ]]*Table1[[#This Row],[* Load Before Treatment (kg/yr)]]</f>
        <v>0</v>
      </c>
      <c r="AY140" s="43" t="s">
        <v>121</v>
      </c>
      <c r="BA140" s="101">
        <v>1</v>
      </c>
      <c r="BB14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3.1680428207825385E-3</v>
      </c>
      <c r="BC140" s="44"/>
      <c r="BD140" s="44"/>
      <c r="BJ140" s="43"/>
      <c r="BK140" s="45"/>
      <c r="BL140" s="45"/>
      <c r="BM14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4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4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4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4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40" s="19" t="str">
        <f>IFERROR(Table1[[#This Row],[* Prior Practice Efficiency]]*Table1[[#This Row],[* Prior Load Before Treatment (kg/year)]],"")</f>
        <v/>
      </c>
      <c r="BT140" s="19"/>
    </row>
    <row r="141" spans="1:72">
      <c r="A141" s="43" t="s">
        <v>211</v>
      </c>
      <c r="B141" s="43" t="s">
        <v>212</v>
      </c>
      <c r="C141" s="43" t="s">
        <v>109</v>
      </c>
      <c r="D141" s="43" t="s">
        <v>110</v>
      </c>
      <c r="G141" s="44">
        <v>0.18</v>
      </c>
      <c r="H141" s="44">
        <v>0</v>
      </c>
      <c r="I141" s="44">
        <v>0.84</v>
      </c>
      <c r="J141" s="43" t="s">
        <v>213</v>
      </c>
      <c r="K141" s="66" t="s">
        <v>112</v>
      </c>
      <c r="N141" s="48"/>
      <c r="O141" s="43" t="s">
        <v>113</v>
      </c>
      <c r="Q141" s="43">
        <v>2012</v>
      </c>
      <c r="U141" s="43" t="s">
        <v>214</v>
      </c>
      <c r="V141" s="43" t="str">
        <f>IFERROR(VLOOKUP(Table1[[#This Row],[LC TMDL Drainage Area]],Dropdowns!$P$3:$Q$23,2,FALSE),"")</f>
        <v>Malletts Bay</v>
      </c>
      <c r="W141" s="43" t="s">
        <v>115</v>
      </c>
      <c r="X141" s="43" t="s">
        <v>124</v>
      </c>
      <c r="Y141" s="43">
        <v>0.15</v>
      </c>
      <c r="Z141" s="43" t="s">
        <v>136</v>
      </c>
      <c r="AA141" s="43" t="s">
        <v>118</v>
      </c>
      <c r="AB141" s="93"/>
      <c r="AC141" s="93"/>
      <c r="AD141" s="93"/>
      <c r="AE141" s="93"/>
      <c r="AF141" s="43">
        <v>0.69</v>
      </c>
      <c r="AG141" s="43" t="s">
        <v>119</v>
      </c>
      <c r="AH141" s="4">
        <v>2</v>
      </c>
      <c r="AI141" s="4">
        <v>0.21</v>
      </c>
      <c r="AJ141" s="4">
        <v>3</v>
      </c>
      <c r="AK141" s="4">
        <v>163</v>
      </c>
      <c r="AL141" s="60">
        <v>162</v>
      </c>
      <c r="AM141"/>
      <c r="AN141" s="50">
        <v>90.024899999999988</v>
      </c>
      <c r="AP141" s="8" t="s">
        <v>120</v>
      </c>
      <c r="AQ141" s="8" t="s">
        <v>120</v>
      </c>
      <c r="AR14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0.10005713168690217</v>
      </c>
      <c r="AS14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0.13775337737918819</v>
      </c>
      <c r="AT14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14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0.37753377379188185</v>
      </c>
      <c r="AV14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1.1326013213756456E-2</v>
      </c>
      <c r="AW141" s="19">
        <f>IFERROR(Table1[[#This Row],[* Practice Efficiency]]*Table1[[#This Row],[* Load Before Treatment (kg/yr)]],"")</f>
        <v>1.1332483956164238E-3</v>
      </c>
      <c r="AX141" s="100">
        <f>Table1[[#This Row],[Manually entered practice effiency ]]*Table1[[#This Row],[* Load Before Treatment (kg/yr)]]</f>
        <v>0</v>
      </c>
      <c r="AY141" s="43" t="s">
        <v>121</v>
      </c>
      <c r="BA141" s="101">
        <v>1</v>
      </c>
      <c r="BB14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1.1332483956164238E-3</v>
      </c>
      <c r="BC141" s="44"/>
      <c r="BD141" s="44"/>
      <c r="BJ141" s="43"/>
      <c r="BK141" s="45"/>
      <c r="BL141" s="45"/>
      <c r="BM14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4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4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4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4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41" s="19" t="str">
        <f>IFERROR(Table1[[#This Row],[* Prior Practice Efficiency]]*Table1[[#This Row],[* Prior Load Before Treatment (kg/year)]],"")</f>
        <v/>
      </c>
      <c r="BT141" s="19" t="s">
        <v>215</v>
      </c>
    </row>
    <row r="142" spans="1:72">
      <c r="A142" s="43" t="s">
        <v>216</v>
      </c>
      <c r="B142" s="43" t="s">
        <v>212</v>
      </c>
      <c r="C142" s="43" t="s">
        <v>109</v>
      </c>
      <c r="D142" s="43" t="s">
        <v>110</v>
      </c>
      <c r="G142" s="44">
        <v>0.18</v>
      </c>
      <c r="H142" s="44">
        <v>0</v>
      </c>
      <c r="J142" s="43" t="s">
        <v>213</v>
      </c>
      <c r="K142" s="66" t="s">
        <v>112</v>
      </c>
      <c r="N142" s="48"/>
      <c r="O142" s="43" t="s">
        <v>113</v>
      </c>
      <c r="Q142" s="43">
        <v>2012</v>
      </c>
      <c r="U142" s="43" t="s">
        <v>214</v>
      </c>
      <c r="V142" s="43" t="str">
        <f>IFERROR(VLOOKUP(Table1[[#This Row],[LC TMDL Drainage Area]],Dropdowns!$P$3:$Q$23,2,FALSE),"")</f>
        <v>Malletts Bay</v>
      </c>
      <c r="W142" s="43" t="s">
        <v>115</v>
      </c>
      <c r="X142" s="43" t="s">
        <v>141</v>
      </c>
      <c r="Y142" s="43">
        <v>4.1000000000000002E-2</v>
      </c>
      <c r="Z142" s="43" t="s">
        <v>136</v>
      </c>
      <c r="AA142" s="43" t="s">
        <v>118</v>
      </c>
      <c r="AB142" s="93"/>
      <c r="AC142" s="93"/>
      <c r="AD142" s="93"/>
      <c r="AE142" s="93"/>
      <c r="AF142" s="43">
        <v>0</v>
      </c>
      <c r="AG142" s="43" t="s">
        <v>119</v>
      </c>
      <c r="AH142" s="4"/>
      <c r="AI142" s="4"/>
      <c r="AJ142" s="4"/>
      <c r="AK142" s="4"/>
      <c r="AL142" s="60"/>
      <c r="AM142">
        <v>0.74</v>
      </c>
      <c r="AN142" s="59">
        <v>0</v>
      </c>
      <c r="AP142" s="8" t="s">
        <v>120</v>
      </c>
      <c r="AQ142" s="8" t="s">
        <v>120</v>
      </c>
      <c r="AR14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2.7348949327753259E-2</v>
      </c>
      <c r="AS14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142"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14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4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42" s="19" t="str">
        <f>IFERROR(Table1[[#This Row],[* Practice Efficiency]]*Table1[[#This Row],[* Load Before Treatment (kg/yr)]],"")</f>
        <v/>
      </c>
      <c r="AX142" s="100">
        <f>Table1[[#This Row],[Manually entered practice effiency ]]*Table1[[#This Row],[* Load Before Treatment (kg/yr)]]</f>
        <v>2.0238222502537411E-2</v>
      </c>
      <c r="AY142" s="43" t="s">
        <v>121</v>
      </c>
      <c r="BA142" s="101">
        <v>1</v>
      </c>
      <c r="BB14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2.0238222502537411E-2</v>
      </c>
      <c r="BC142" s="44"/>
      <c r="BD142" s="44"/>
      <c r="BJ142" s="43"/>
      <c r="BK142" s="45"/>
      <c r="BL142" s="45"/>
      <c r="BM14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4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4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4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4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42" s="19" t="str">
        <f>IFERROR(Table1[[#This Row],[* Prior Practice Efficiency]]*Table1[[#This Row],[* Prior Load Before Treatment (kg/year)]],"")</f>
        <v/>
      </c>
      <c r="BT142" s="19"/>
    </row>
    <row r="143" spans="1:72">
      <c r="A143" s="43" t="s">
        <v>217</v>
      </c>
      <c r="B143" s="43" t="s">
        <v>212</v>
      </c>
      <c r="C143" s="43" t="s">
        <v>109</v>
      </c>
      <c r="D143" s="43" t="s">
        <v>110</v>
      </c>
      <c r="G143" s="44">
        <v>0.08</v>
      </c>
      <c r="H143" s="44">
        <v>0</v>
      </c>
      <c r="J143" s="43" t="s">
        <v>213</v>
      </c>
      <c r="K143" s="66" t="s">
        <v>129</v>
      </c>
      <c r="N143" s="48"/>
      <c r="O143" s="43" t="s">
        <v>113</v>
      </c>
      <c r="Q143" s="43">
        <v>2012</v>
      </c>
      <c r="U143" s="43" t="s">
        <v>214</v>
      </c>
      <c r="V143" s="43" t="str">
        <f>IFERROR(VLOOKUP(Table1[[#This Row],[LC TMDL Drainage Area]],Dropdowns!$P$3:$Q$23,2,FALSE),"")</f>
        <v>Malletts Bay</v>
      </c>
      <c r="W143" s="43" t="s">
        <v>115</v>
      </c>
      <c r="X143" s="43" t="s">
        <v>141</v>
      </c>
      <c r="Y143" s="43">
        <v>3.1E-2</v>
      </c>
      <c r="Z143" s="43" t="s">
        <v>136</v>
      </c>
      <c r="AA143" s="43" t="s">
        <v>118</v>
      </c>
      <c r="AB143" s="93"/>
      <c r="AC143" s="93"/>
      <c r="AD143" s="93"/>
      <c r="AE143" s="93"/>
      <c r="AF143" s="43">
        <v>0</v>
      </c>
      <c r="AH143" s="4"/>
      <c r="AI143" s="4"/>
      <c r="AJ143" s="4"/>
      <c r="AK143" s="4"/>
      <c r="AL143" s="60"/>
      <c r="AM143">
        <v>0.74</v>
      </c>
      <c r="AN143" s="59">
        <v>0</v>
      </c>
      <c r="AP143" s="8" t="s">
        <v>120</v>
      </c>
      <c r="AQ143" s="8" t="s">
        <v>120</v>
      </c>
      <c r="AR14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2.0678473881959782E-2</v>
      </c>
      <c r="AS14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143"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14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4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43" s="19" t="str">
        <f>IFERROR(Table1[[#This Row],[* Practice Efficiency]]*Table1[[#This Row],[* Load Before Treatment (kg/yr)]],"")</f>
        <v/>
      </c>
      <c r="AX143" s="100">
        <f>Table1[[#This Row],[Manually entered practice effiency ]]*Table1[[#This Row],[* Load Before Treatment (kg/yr)]]</f>
        <v>1.5302070672650239E-2</v>
      </c>
      <c r="AY143" s="43" t="s">
        <v>121</v>
      </c>
      <c r="BA143" s="101">
        <v>1</v>
      </c>
      <c r="BB14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1.5302070672650239E-2</v>
      </c>
      <c r="BC143" s="44"/>
      <c r="BD143" s="44"/>
      <c r="BJ143" s="43"/>
      <c r="BK143" s="45"/>
      <c r="BL143" s="45"/>
      <c r="BM14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4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4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4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4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43" s="19" t="str">
        <f>IFERROR(Table1[[#This Row],[* Prior Practice Efficiency]]*Table1[[#This Row],[* Prior Load Before Treatment (kg/year)]],"")</f>
        <v/>
      </c>
      <c r="BT143" s="19"/>
    </row>
    <row r="144" spans="1:72">
      <c r="A144" s="43" t="s">
        <v>218</v>
      </c>
      <c r="B144" s="43" t="s">
        <v>212</v>
      </c>
      <c r="C144" s="43" t="s">
        <v>109</v>
      </c>
      <c r="D144" s="43" t="s">
        <v>110</v>
      </c>
      <c r="G144" s="44">
        <v>0.08</v>
      </c>
      <c r="H144" s="44">
        <v>0</v>
      </c>
      <c r="I144" s="44">
        <v>0.22</v>
      </c>
      <c r="J144" s="43" t="s">
        <v>213</v>
      </c>
      <c r="K144" s="66" t="s">
        <v>129</v>
      </c>
      <c r="N144" s="48"/>
      <c r="O144" s="43" t="s">
        <v>113</v>
      </c>
      <c r="Q144" s="43">
        <v>2012</v>
      </c>
      <c r="U144" s="43" t="s">
        <v>214</v>
      </c>
      <c r="V144" s="43" t="str">
        <f>IFERROR(VLOOKUP(Table1[[#This Row],[LC TMDL Drainage Area]],Dropdowns!$P$3:$Q$23,2,FALSE),"")</f>
        <v>Malletts Bay</v>
      </c>
      <c r="W144" s="43" t="s">
        <v>115</v>
      </c>
      <c r="X144" s="43" t="s">
        <v>201</v>
      </c>
      <c r="Y144" s="43">
        <v>0.13500000000000001</v>
      </c>
      <c r="Z144" s="43" t="s">
        <v>136</v>
      </c>
      <c r="AA144" s="43" t="s">
        <v>118</v>
      </c>
      <c r="AB144" s="93"/>
      <c r="AC144" s="93"/>
      <c r="AD144" s="93"/>
      <c r="AE144" s="93"/>
      <c r="AF144" s="43">
        <v>0.08</v>
      </c>
      <c r="AG144" s="43" t="s">
        <v>119</v>
      </c>
      <c r="AH144" s="4">
        <v>5</v>
      </c>
      <c r="AI144" s="4">
        <v>0.8</v>
      </c>
      <c r="AJ144" s="4">
        <v>2.4</v>
      </c>
      <c r="AK144" s="4">
        <v>81</v>
      </c>
      <c r="AL144" s="60"/>
      <c r="AM144"/>
      <c r="AN144" s="50">
        <v>691</v>
      </c>
      <c r="AP144" s="8" t="s">
        <v>120</v>
      </c>
      <c r="AQ144" s="8" t="s">
        <v>120</v>
      </c>
      <c r="AR14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9.0051418518211954E-2</v>
      </c>
      <c r="AS14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1.1796358824558848</v>
      </c>
      <c r="AT14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4.9999999999999933E-2</v>
      </c>
      <c r="AU14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0.3592717649117696</v>
      </c>
      <c r="AV14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0.49796358824558845</v>
      </c>
      <c r="AW144" s="19">
        <f>IFERROR(Table1[[#This Row],[* Practice Efficiency]]*Table1[[#This Row],[* Load Before Treatment (kg/yr)]],"")</f>
        <v>4.4842327491934057E-2</v>
      </c>
      <c r="AX144" s="100">
        <f>Table1[[#This Row],[Manually entered practice effiency ]]*Table1[[#This Row],[* Load Before Treatment (kg/yr)]]</f>
        <v>0</v>
      </c>
      <c r="AY144" s="43" t="s">
        <v>121</v>
      </c>
      <c r="BA144" s="101">
        <v>1</v>
      </c>
      <c r="BB14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4.4842327491934057E-2</v>
      </c>
      <c r="BC144" s="44"/>
      <c r="BD144" s="44"/>
      <c r="BJ144" s="43"/>
      <c r="BK144" s="45"/>
      <c r="BL144" s="45"/>
      <c r="BM14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4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4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4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4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44" s="19" t="str">
        <f>IFERROR(Table1[[#This Row],[* Prior Practice Efficiency]]*Table1[[#This Row],[* Prior Load Before Treatment (kg/year)]],"")</f>
        <v/>
      </c>
      <c r="BT144" s="19"/>
    </row>
    <row r="145" spans="1:72">
      <c r="A145" s="43" t="s">
        <v>624</v>
      </c>
      <c r="B145" s="43" t="s">
        <v>212</v>
      </c>
      <c r="C145" s="43" t="s">
        <v>109</v>
      </c>
      <c r="D145" s="43" t="s">
        <v>110</v>
      </c>
      <c r="G145" s="44">
        <v>0.34</v>
      </c>
      <c r="H145" s="44">
        <v>0</v>
      </c>
      <c r="I145" s="44">
        <v>0.41</v>
      </c>
      <c r="J145" s="43" t="s">
        <v>162</v>
      </c>
      <c r="K145" s="203" t="s">
        <v>112</v>
      </c>
      <c r="N145" s="48"/>
      <c r="O145" s="43" t="s">
        <v>598</v>
      </c>
      <c r="P145" s="43">
        <v>2026</v>
      </c>
      <c r="U145" s="43" t="s">
        <v>214</v>
      </c>
      <c r="V145" s="43" t="s">
        <v>504</v>
      </c>
      <c r="X145" s="43" t="s">
        <v>170</v>
      </c>
      <c r="Y145" s="43">
        <v>0.34</v>
      </c>
      <c r="Z145" s="43" t="s">
        <v>136</v>
      </c>
      <c r="AA145" s="43" t="s">
        <v>118</v>
      </c>
      <c r="AF145" s="43">
        <v>7.0000000000000007E-2</v>
      </c>
      <c r="AG145" s="43" t="s">
        <v>119</v>
      </c>
      <c r="AH145" s="203"/>
      <c r="AI145" s="203"/>
      <c r="AJ145" s="203"/>
      <c r="AK145" s="203"/>
      <c r="AL145" s="204"/>
      <c r="AN145" s="50">
        <v>4600</v>
      </c>
      <c r="AO145" s="43" t="s">
        <v>209</v>
      </c>
      <c r="AP145" s="205"/>
      <c r="AQ145" s="205"/>
      <c r="AR14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0.22679616515697826</v>
      </c>
      <c r="AS14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2</v>
      </c>
      <c r="AT145"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0</v>
      </c>
      <c r="AU14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4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v>
      </c>
      <c r="AW145" s="19">
        <f>IFERROR(Table1[[#This Row],[* Practice Efficiency]]*Table1[[#This Row],[* Load Before Treatment (kg/yr)]],"")</f>
        <v>0.22679616515697826</v>
      </c>
      <c r="AX145" s="100">
        <v>0</v>
      </c>
      <c r="AY145" s="44" t="s">
        <v>121</v>
      </c>
      <c r="BA145" s="101">
        <v>1</v>
      </c>
      <c r="BB14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0.22679616515697826</v>
      </c>
      <c r="BC145" s="44"/>
      <c r="BD145" s="44"/>
      <c r="BJ145" s="43"/>
      <c r="BK145" s="45"/>
      <c r="BL145" s="45"/>
      <c r="BM14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4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4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4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4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45" s="19" t="str">
        <f>IFERROR(Table1[[#This Row],[* Prior Practice Efficiency]]*Table1[[#This Row],[* Prior Load Before Treatment (kg/year)]],"")</f>
        <v/>
      </c>
      <c r="BT145" s="19"/>
    </row>
    <row r="146" spans="1:72">
      <c r="A146" s="43" t="s">
        <v>138</v>
      </c>
      <c r="B146" s="43" t="s">
        <v>139</v>
      </c>
      <c r="C146" s="43" t="s">
        <v>109</v>
      </c>
      <c r="D146" s="43" t="s">
        <v>110</v>
      </c>
      <c r="G146" s="44">
        <v>0.06</v>
      </c>
      <c r="H146" s="44">
        <v>0</v>
      </c>
      <c r="I146" s="44">
        <v>0.52600000000000002</v>
      </c>
      <c r="J146" s="43" t="s">
        <v>140</v>
      </c>
      <c r="K146" s="66" t="s">
        <v>112</v>
      </c>
      <c r="N146" s="48"/>
      <c r="O146" s="43" t="s">
        <v>113</v>
      </c>
      <c r="Q146" s="43">
        <v>2010</v>
      </c>
      <c r="U146" s="43" t="s">
        <v>134</v>
      </c>
      <c r="V146" s="43" t="str">
        <f>IFERROR(VLOOKUP(Table1[[#This Row],[LC TMDL Drainage Area]],Dropdowns!$P$3:$Q$23,2,FALSE),"")</f>
        <v>Main Lake</v>
      </c>
      <c r="W146" s="43" t="s">
        <v>115</v>
      </c>
      <c r="X146" s="43" t="s">
        <v>141</v>
      </c>
      <c r="Y146" s="43">
        <v>5.7000000000000002E-2</v>
      </c>
      <c r="Z146" s="43" t="s">
        <v>136</v>
      </c>
      <c r="AA146" s="43" t="s">
        <v>118</v>
      </c>
      <c r="AB146" s="93"/>
      <c r="AC146" s="93"/>
      <c r="AD146" s="93"/>
      <c r="AE146" s="93"/>
      <c r="AF146" s="43">
        <v>0.47</v>
      </c>
      <c r="AG146" s="43" t="s">
        <v>119</v>
      </c>
      <c r="AH146" s="4"/>
      <c r="AI146" s="4"/>
      <c r="AJ146" s="4"/>
      <c r="AK146" s="4"/>
      <c r="AL146" s="60"/>
      <c r="AM146">
        <v>0.55000000000000004</v>
      </c>
      <c r="AN146" s="59">
        <v>0</v>
      </c>
      <c r="AP146" s="8" t="s">
        <v>142</v>
      </c>
      <c r="AQ146" s="8" t="s">
        <v>142</v>
      </c>
      <c r="AR14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3.7436485988824368E-2</v>
      </c>
      <c r="AS14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146"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14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4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46" s="19" t="str">
        <f>IFERROR(Table1[[#This Row],[* Practice Efficiency]]*Table1[[#This Row],[* Load Before Treatment (kg/yr)]],"")</f>
        <v/>
      </c>
      <c r="AX146" s="100">
        <f>Table1[[#This Row],[Manually entered practice effiency ]]*Table1[[#This Row],[* Load Before Treatment (kg/yr)]]</f>
        <v>2.0590067293853404E-2</v>
      </c>
      <c r="AY146" s="43" t="s">
        <v>121</v>
      </c>
      <c r="BA146" s="101">
        <v>1</v>
      </c>
      <c r="BB14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2.0590067293853404E-2</v>
      </c>
      <c r="BC146" s="44"/>
      <c r="BD146" s="44"/>
      <c r="BJ146" s="43"/>
      <c r="BK146" s="45"/>
      <c r="BL146" s="45"/>
      <c r="BM14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4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4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4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4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46" s="19" t="str">
        <f>IFERROR(Table1[[#This Row],[* Prior Practice Efficiency]]*Table1[[#This Row],[* Prior Load Before Treatment (kg/year)]],"")</f>
        <v/>
      </c>
      <c r="BT146" s="19"/>
    </row>
    <row r="147" spans="1:72">
      <c r="A147" s="43" t="s">
        <v>143</v>
      </c>
      <c r="B147" s="43" t="s">
        <v>139</v>
      </c>
      <c r="C147" s="43" t="s">
        <v>109</v>
      </c>
      <c r="D147" s="43" t="s">
        <v>110</v>
      </c>
      <c r="G147" s="44">
        <v>0.19</v>
      </c>
      <c r="H147" s="44">
        <v>0</v>
      </c>
      <c r="I147" s="44">
        <v>0.61899999999999999</v>
      </c>
      <c r="J147" s="43" t="s">
        <v>140</v>
      </c>
      <c r="K147" s="66" t="s">
        <v>129</v>
      </c>
      <c r="N147" s="48"/>
      <c r="O147" s="43" t="s">
        <v>113</v>
      </c>
      <c r="Q147" s="43">
        <v>2010</v>
      </c>
      <c r="U147" s="43" t="s">
        <v>134</v>
      </c>
      <c r="V147" s="43" t="str">
        <f>IFERROR(VLOOKUP(Table1[[#This Row],[LC TMDL Drainage Area]],Dropdowns!$P$3:$Q$23,2,FALSE),"")</f>
        <v>Main Lake</v>
      </c>
      <c r="W147" s="43" t="s">
        <v>115</v>
      </c>
      <c r="X147" s="43" t="s">
        <v>141</v>
      </c>
      <c r="Y147" s="43">
        <v>0.19</v>
      </c>
      <c r="Z147" s="43" t="s">
        <v>136</v>
      </c>
      <c r="AA147" s="43" t="s">
        <v>118</v>
      </c>
      <c r="AB147" s="93"/>
      <c r="AC147" s="93"/>
      <c r="AD147" s="93"/>
      <c r="AE147" s="93"/>
      <c r="AF147" s="43">
        <v>0.43</v>
      </c>
      <c r="AG147" s="43" t="s">
        <v>119</v>
      </c>
      <c r="AH147" s="4"/>
      <c r="AI147" s="4"/>
      <c r="AJ147" s="4"/>
      <c r="AK147" s="4"/>
      <c r="AL147" s="60"/>
      <c r="AM147">
        <v>0.55000000000000004</v>
      </c>
      <c r="AN147" s="59">
        <v>0</v>
      </c>
      <c r="AP147" s="8" t="s">
        <v>142</v>
      </c>
      <c r="AQ147" s="8" t="s">
        <v>142</v>
      </c>
      <c r="AR14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0.12478828662941456</v>
      </c>
      <c r="AS14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147"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14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4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47" s="19" t="str">
        <f>IFERROR(Table1[[#This Row],[* Practice Efficiency]]*Table1[[#This Row],[* Load Before Treatment (kg/yr)]],"")</f>
        <v/>
      </c>
      <c r="AX147" s="100">
        <f>Table1[[#This Row],[Manually entered practice effiency ]]*Table1[[#This Row],[* Load Before Treatment (kg/yr)]]</f>
        <v>6.8633557646178012E-2</v>
      </c>
      <c r="AY147" s="43" t="s">
        <v>121</v>
      </c>
      <c r="BA147" s="101">
        <v>1</v>
      </c>
      <c r="BB14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6.8633557646178012E-2</v>
      </c>
      <c r="BC147" s="44"/>
      <c r="BD147" s="44"/>
      <c r="BJ147" s="43"/>
      <c r="BK147" s="45"/>
      <c r="BL147" s="45"/>
      <c r="BM14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4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4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4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4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47" s="19" t="str">
        <f>IFERROR(Table1[[#This Row],[* Prior Practice Efficiency]]*Table1[[#This Row],[* Prior Load Before Treatment (kg/year)]],"")</f>
        <v/>
      </c>
      <c r="BT147" s="19"/>
    </row>
    <row r="148" spans="1:72">
      <c r="A148" s="43" t="s">
        <v>144</v>
      </c>
      <c r="B148" s="43" t="s">
        <v>139</v>
      </c>
      <c r="C148" s="43" t="s">
        <v>109</v>
      </c>
      <c r="D148" s="43" t="s">
        <v>110</v>
      </c>
      <c r="G148" s="44">
        <v>0.01</v>
      </c>
      <c r="H148" s="44">
        <v>0</v>
      </c>
      <c r="I148" s="44">
        <v>0.28899999999999998</v>
      </c>
      <c r="J148" s="43" t="s">
        <v>140</v>
      </c>
      <c r="K148" s="66" t="s">
        <v>145</v>
      </c>
      <c r="N148" s="48"/>
      <c r="O148" s="43" t="s">
        <v>113</v>
      </c>
      <c r="Q148" s="43">
        <v>2010</v>
      </c>
      <c r="U148" s="43" t="s">
        <v>134</v>
      </c>
      <c r="V148" s="43" t="str">
        <f>IFERROR(VLOOKUP(Table1[[#This Row],[LC TMDL Drainage Area]],Dropdowns!$P$3:$Q$23,2,FALSE),"")</f>
        <v>Main Lake</v>
      </c>
      <c r="W148" s="43" t="s">
        <v>115</v>
      </c>
      <c r="X148" s="43" t="s">
        <v>124</v>
      </c>
      <c r="Y148" s="43">
        <v>8.9999999999999993E-3</v>
      </c>
      <c r="Z148" s="43" t="s">
        <v>146</v>
      </c>
      <c r="AA148" s="43" t="s">
        <v>118</v>
      </c>
      <c r="AB148" s="93"/>
      <c r="AC148" s="93"/>
      <c r="AD148" s="93"/>
      <c r="AE148" s="93"/>
      <c r="AF148" s="43">
        <v>0.28000000000000003</v>
      </c>
      <c r="AG148" s="43" t="s">
        <v>119</v>
      </c>
      <c r="AH148" s="4">
        <v>2</v>
      </c>
      <c r="AI148" s="4">
        <v>0.06</v>
      </c>
      <c r="AJ148" s="4">
        <v>3.5</v>
      </c>
      <c r="AK148" s="4">
        <v>223.767</v>
      </c>
      <c r="AL148" s="60">
        <v>223.767</v>
      </c>
      <c r="AM148"/>
      <c r="AN148" s="50">
        <v>29.671504199999998</v>
      </c>
      <c r="AP148" s="8" t="s">
        <v>142</v>
      </c>
      <c r="AQ148" s="8" t="s">
        <v>142</v>
      </c>
      <c r="AR14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9.1620727274782949E-3</v>
      </c>
      <c r="AS14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0.26434826583443133</v>
      </c>
      <c r="AT14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14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0.32174132917215659</v>
      </c>
      <c r="AV14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3.286965316688626E-2</v>
      </c>
      <c r="AW148" s="19">
        <f>IFERROR(Table1[[#This Row],[* Practice Efficiency]]*Table1[[#This Row],[* Load Before Treatment (kg/yr)]],"")</f>
        <v>3.0115415284199919E-4</v>
      </c>
      <c r="AX148" s="100">
        <f>Table1[[#This Row],[Manually entered practice effiency ]]*Table1[[#This Row],[* Load Before Treatment (kg/yr)]]</f>
        <v>0</v>
      </c>
      <c r="AY148" s="43" t="s">
        <v>121</v>
      </c>
      <c r="BA148" s="101">
        <v>1</v>
      </c>
      <c r="BB14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3.0115415284199919E-4</v>
      </c>
      <c r="BC148" s="44"/>
      <c r="BD148" s="44"/>
      <c r="BJ148" s="43"/>
      <c r="BK148" s="45"/>
      <c r="BL148" s="45"/>
      <c r="BM14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4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4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4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4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48" s="19" t="str">
        <f>IFERROR(Table1[[#This Row],[* Prior Practice Efficiency]]*Table1[[#This Row],[* Prior Load Before Treatment (kg/year)]],"")</f>
        <v/>
      </c>
      <c r="BT148" s="19"/>
    </row>
    <row r="149" spans="1:72">
      <c r="A149" s="43" t="s">
        <v>147</v>
      </c>
      <c r="B149" s="43" t="s">
        <v>139</v>
      </c>
      <c r="C149" s="43" t="s">
        <v>109</v>
      </c>
      <c r="D149" s="43" t="s">
        <v>110</v>
      </c>
      <c r="G149" s="44">
        <v>7.0000000000000007E-2</v>
      </c>
      <c r="H149" s="44">
        <v>0</v>
      </c>
      <c r="I149" s="44">
        <v>0.58299999999999996</v>
      </c>
      <c r="J149" s="43" t="s">
        <v>140</v>
      </c>
      <c r="K149" s="67" t="s">
        <v>148</v>
      </c>
      <c r="N149" s="48"/>
      <c r="O149" s="43" t="s">
        <v>113</v>
      </c>
      <c r="Q149" s="43">
        <v>2010</v>
      </c>
      <c r="U149" s="43" t="s">
        <v>134</v>
      </c>
      <c r="V149" s="43" t="str">
        <f>IFERROR(VLOOKUP(Table1[[#This Row],[LC TMDL Drainage Area]],Dropdowns!$P$3:$Q$23,2,FALSE),"")</f>
        <v>Main Lake</v>
      </c>
      <c r="W149" s="43" t="s">
        <v>115</v>
      </c>
      <c r="X149" s="43" t="s">
        <v>124</v>
      </c>
      <c r="Y149" s="43">
        <v>7.1999999999999995E-2</v>
      </c>
      <c r="Z149" s="43" t="s">
        <v>146</v>
      </c>
      <c r="AA149" s="43" t="s">
        <v>118</v>
      </c>
      <c r="AB149" s="93"/>
      <c r="AC149" s="93"/>
      <c r="AD149" s="93"/>
      <c r="AE149" s="93"/>
      <c r="AF149" s="43">
        <v>0.51</v>
      </c>
      <c r="AG149" s="43" t="s">
        <v>119</v>
      </c>
      <c r="AH149">
        <v>3</v>
      </c>
      <c r="AI149">
        <v>0.09</v>
      </c>
      <c r="AJ149">
        <v>3</v>
      </c>
      <c r="AK149">
        <v>193.03899999999999</v>
      </c>
      <c r="AL149">
        <v>193.03899999999999</v>
      </c>
      <c r="AM149"/>
      <c r="AN149" s="50">
        <v>56.811377699999994</v>
      </c>
      <c r="AP149" s="79" t="s">
        <v>142</v>
      </c>
      <c r="AQ149" s="79" t="s">
        <v>142</v>
      </c>
      <c r="AR14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7.3296581819826359E-2</v>
      </c>
      <c r="AS14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0.16066952675634957</v>
      </c>
      <c r="AT14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14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0.60669526756349568</v>
      </c>
      <c r="AV14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1.8200858026904871E-2</v>
      </c>
      <c r="AW149" s="19">
        <f>IFERROR(Table1[[#This Row],[* Practice Efficiency]]*Table1[[#This Row],[* Load Before Treatment (kg/yr)]],"")</f>
        <v>1.3340606795600762E-3</v>
      </c>
      <c r="AX149" s="100">
        <f>Table1[[#This Row],[Manually entered practice effiency ]]*Table1[[#This Row],[* Load Before Treatment (kg/yr)]]</f>
        <v>0</v>
      </c>
      <c r="AY149" s="43" t="s">
        <v>121</v>
      </c>
      <c r="BA149" s="101">
        <v>1</v>
      </c>
      <c r="BB14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1.3340606795600762E-3</v>
      </c>
      <c r="BC149" s="44"/>
      <c r="BD149" s="44"/>
      <c r="BJ149" s="43"/>
      <c r="BK149" s="45"/>
      <c r="BL149" s="45"/>
      <c r="BM14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4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4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4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4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49" s="19" t="str">
        <f>IFERROR(Table1[[#This Row],[* Prior Practice Efficiency]]*Table1[[#This Row],[* Prior Load Before Treatment (kg/year)]],"")</f>
        <v/>
      </c>
      <c r="BT149" s="19"/>
    </row>
    <row r="150" spans="1:72">
      <c r="A150" s="43" t="s">
        <v>149</v>
      </c>
      <c r="B150" s="43" t="s">
        <v>139</v>
      </c>
      <c r="C150" s="43" t="s">
        <v>109</v>
      </c>
      <c r="D150" s="43" t="s">
        <v>110</v>
      </c>
      <c r="G150" s="44">
        <v>7.0000000000000007E-2</v>
      </c>
      <c r="H150" s="44">
        <v>0</v>
      </c>
      <c r="I150" s="44">
        <v>0.14399999999999999</v>
      </c>
      <c r="J150" s="43" t="s">
        <v>140</v>
      </c>
      <c r="K150" s="67" t="s">
        <v>150</v>
      </c>
      <c r="N150" s="48"/>
      <c r="O150" s="43" t="s">
        <v>113</v>
      </c>
      <c r="Q150" s="43">
        <v>2010</v>
      </c>
      <c r="U150" s="43" t="s">
        <v>134</v>
      </c>
      <c r="V150" s="43" t="str">
        <f>IFERROR(VLOOKUP(Table1[[#This Row],[LC TMDL Drainage Area]],Dropdowns!$P$3:$Q$23,2,FALSE),"")</f>
        <v>Main Lake</v>
      </c>
      <c r="W150" s="43" t="s">
        <v>115</v>
      </c>
      <c r="X150" s="43" t="s">
        <v>141</v>
      </c>
      <c r="Y150" s="43">
        <v>7.3999999999999996E-2</v>
      </c>
      <c r="Z150" s="43" t="s">
        <v>136</v>
      </c>
      <c r="AA150" s="43" t="s">
        <v>118</v>
      </c>
      <c r="AB150" s="93"/>
      <c r="AC150" s="93"/>
      <c r="AD150" s="93"/>
      <c r="AE150" s="93"/>
      <c r="AF150" s="43">
        <v>7.0000000000000007E-2</v>
      </c>
      <c r="AG150" s="43" t="s">
        <v>119</v>
      </c>
      <c r="AH150"/>
      <c r="AI150"/>
      <c r="AJ150"/>
      <c r="AK150"/>
      <c r="AL150"/>
      <c r="AM150">
        <v>0.59</v>
      </c>
      <c r="AN150" s="50">
        <v>0</v>
      </c>
      <c r="AP150" s="79" t="s">
        <v>151</v>
      </c>
      <c r="AQ150" s="79" t="s">
        <v>151</v>
      </c>
      <c r="AR15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4.8601753739877247E-2</v>
      </c>
      <c r="AS15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150"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15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5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50" s="19" t="str">
        <f>IFERROR(Table1[[#This Row],[* Practice Efficiency]]*Table1[[#This Row],[* Load Before Treatment (kg/yr)]],"")</f>
        <v/>
      </c>
      <c r="AX150" s="100">
        <f>Table1[[#This Row],[Manually entered practice effiency ]]*Table1[[#This Row],[* Load Before Treatment (kg/yr)]]</f>
        <v>2.8675034706527575E-2</v>
      </c>
      <c r="AY150" s="43" t="s">
        <v>121</v>
      </c>
      <c r="BA150" s="101">
        <v>1</v>
      </c>
      <c r="BB15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2.8675034706527575E-2</v>
      </c>
      <c r="BC150" s="44"/>
      <c r="BD150" s="44"/>
      <c r="BJ150" s="43"/>
      <c r="BK150" s="45"/>
      <c r="BL150" s="45"/>
      <c r="BM15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5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5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5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5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50" s="19" t="str">
        <f>IFERROR(Table1[[#This Row],[* Prior Practice Efficiency]]*Table1[[#This Row],[* Prior Load Before Treatment (kg/year)]],"")</f>
        <v/>
      </c>
      <c r="BT150" s="19" t="s">
        <v>152</v>
      </c>
    </row>
    <row r="151" spans="1:72">
      <c r="A151" s="43" t="s">
        <v>153</v>
      </c>
      <c r="B151" s="43" t="s">
        <v>139</v>
      </c>
      <c r="C151" s="43" t="s">
        <v>109</v>
      </c>
      <c r="D151" s="43" t="s">
        <v>110</v>
      </c>
      <c r="G151" s="44">
        <v>0.17</v>
      </c>
      <c r="H151" s="44">
        <v>0</v>
      </c>
      <c r="I151" s="44">
        <v>0.93799999999999994</v>
      </c>
      <c r="J151" s="43" t="s">
        <v>140</v>
      </c>
      <c r="K151" s="67" t="s">
        <v>154</v>
      </c>
      <c r="N151" s="48"/>
      <c r="O151" s="43" t="s">
        <v>113</v>
      </c>
      <c r="Q151" s="43">
        <v>2010</v>
      </c>
      <c r="U151" s="43" t="s">
        <v>134</v>
      </c>
      <c r="V151" s="43" t="str">
        <f>IFERROR(VLOOKUP(Table1[[#This Row],[LC TMDL Drainage Area]],Dropdowns!$P$3:$Q$23,2,FALSE),"")</f>
        <v>Main Lake</v>
      </c>
      <c r="W151" s="43" t="s">
        <v>115</v>
      </c>
      <c r="X151" s="43" t="s">
        <v>124</v>
      </c>
      <c r="Y151" s="43">
        <v>0.11600000000000001</v>
      </c>
      <c r="Z151" s="43" t="s">
        <v>146</v>
      </c>
      <c r="AA151" s="43" t="s">
        <v>118</v>
      </c>
      <c r="AB151" s="93"/>
      <c r="AC151" s="93"/>
      <c r="AD151" s="93"/>
      <c r="AE151" s="93"/>
      <c r="AF151" s="43">
        <v>0.82</v>
      </c>
      <c r="AG151" s="43" t="s">
        <v>119</v>
      </c>
      <c r="AH151">
        <v>4</v>
      </c>
      <c r="AI151">
        <v>0.12</v>
      </c>
      <c r="AJ151">
        <v>3</v>
      </c>
      <c r="AK151">
        <v>135.93899999999999</v>
      </c>
      <c r="AL151">
        <v>135.93899999999999</v>
      </c>
      <c r="AM151"/>
      <c r="AN151" s="50">
        <v>71.123284799999993</v>
      </c>
      <c r="AP151" s="79" t="s">
        <v>155</v>
      </c>
      <c r="AQ151" s="79" t="s">
        <v>155</v>
      </c>
      <c r="AR15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0.11808893737638693</v>
      </c>
      <c r="AS15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0.13055850397660251</v>
      </c>
      <c r="AT15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15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0.30558503976602508</v>
      </c>
      <c r="AV15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9.1675511929807524E-3</v>
      </c>
      <c r="AW151" s="19">
        <f>IFERROR(Table1[[#This Row],[* Practice Efficiency]]*Table1[[#This Row],[* Load Before Treatment (kg/yr)]],"")</f>
        <v>1.0825863787227252E-3</v>
      </c>
      <c r="AX151" s="100">
        <f>Table1[[#This Row],[Manually entered practice effiency ]]*Table1[[#This Row],[* Load Before Treatment (kg/yr)]]</f>
        <v>0</v>
      </c>
      <c r="AY151" s="43" t="s">
        <v>121</v>
      </c>
      <c r="BA151" s="101">
        <v>1</v>
      </c>
      <c r="BB15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1.0825863787227252E-3</v>
      </c>
      <c r="BC151" s="44"/>
      <c r="BD151" s="44"/>
      <c r="BJ151" s="43"/>
      <c r="BK151" s="45"/>
      <c r="BL151" s="45"/>
      <c r="BM15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5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5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5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5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51" s="19" t="str">
        <f>IFERROR(Table1[[#This Row],[* Prior Practice Efficiency]]*Table1[[#This Row],[* Prior Load Before Treatment (kg/year)]],"")</f>
        <v/>
      </c>
      <c r="BT151" s="19"/>
    </row>
    <row r="152" spans="1:72">
      <c r="A152" s="43" t="s">
        <v>156</v>
      </c>
      <c r="B152" s="43" t="s">
        <v>139</v>
      </c>
      <c r="C152" s="43" t="s">
        <v>109</v>
      </c>
      <c r="D152" s="43" t="s">
        <v>110</v>
      </c>
      <c r="G152" s="44">
        <v>0.03</v>
      </c>
      <c r="H152" s="44">
        <v>0</v>
      </c>
      <c r="I152" s="44">
        <v>0.122</v>
      </c>
      <c r="J152" s="43" t="s">
        <v>140</v>
      </c>
      <c r="K152" s="67" t="s">
        <v>157</v>
      </c>
      <c r="N152" s="48"/>
      <c r="O152" s="43" t="s">
        <v>113</v>
      </c>
      <c r="Q152" s="43">
        <v>2010</v>
      </c>
      <c r="U152" s="43" t="s">
        <v>134</v>
      </c>
      <c r="V152" s="43" t="str">
        <f>IFERROR(VLOOKUP(Table1[[#This Row],[LC TMDL Drainage Area]],Dropdowns!$P$3:$Q$23,2,FALSE),"")</f>
        <v>Main Lake</v>
      </c>
      <c r="W152" s="43" t="s">
        <v>115</v>
      </c>
      <c r="X152" s="43" t="s">
        <v>124</v>
      </c>
      <c r="Y152" s="43">
        <v>2.5999999999999999E-2</v>
      </c>
      <c r="Z152" s="43" t="s">
        <v>146</v>
      </c>
      <c r="AA152" s="43" t="s">
        <v>118</v>
      </c>
      <c r="AB152" s="93"/>
      <c r="AC152" s="93"/>
      <c r="AD152" s="93"/>
      <c r="AE152" s="93"/>
      <c r="AF152" s="43">
        <v>0.09</v>
      </c>
      <c r="AG152" s="43" t="s">
        <v>119</v>
      </c>
      <c r="AH152">
        <v>4</v>
      </c>
      <c r="AI152">
        <v>0.05</v>
      </c>
      <c r="AJ152">
        <v>3.5</v>
      </c>
      <c r="AK152">
        <v>79.034999999999997</v>
      </c>
      <c r="AL152">
        <v>79.034999999999997</v>
      </c>
      <c r="AM152"/>
      <c r="AN152" s="50">
        <v>16.49855625</v>
      </c>
      <c r="AP152" s="79" t="s">
        <v>155</v>
      </c>
      <c r="AQ152" s="79" t="s">
        <v>155</v>
      </c>
      <c r="AR15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2.6468210101603964E-2</v>
      </c>
      <c r="AS15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0.1503548393742431</v>
      </c>
      <c r="AT15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15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0.50354839374243088</v>
      </c>
      <c r="AV15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1.5106451812272928E-2</v>
      </c>
      <c r="AW152" s="19">
        <f>IFERROR(Table1[[#This Row],[* Practice Efficiency]]*Table1[[#This Row],[* Load Before Treatment (kg/yr)]],"")</f>
        <v>3.9984074045699579E-4</v>
      </c>
      <c r="AX152" s="100">
        <f>Table1[[#This Row],[Manually entered practice effiency ]]*Table1[[#This Row],[* Load Before Treatment (kg/yr)]]</f>
        <v>0</v>
      </c>
      <c r="AY152" s="43" t="s">
        <v>121</v>
      </c>
      <c r="BA152" s="101">
        <v>1</v>
      </c>
      <c r="BB15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3.9984074045699579E-4</v>
      </c>
      <c r="BC152" s="44"/>
      <c r="BD152" s="44"/>
      <c r="BJ152" s="43"/>
      <c r="BK152" s="45"/>
      <c r="BL152" s="45"/>
      <c r="BM15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5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5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5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5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52" s="19" t="str">
        <f>IFERROR(Table1[[#This Row],[* Prior Practice Efficiency]]*Table1[[#This Row],[* Prior Load Before Treatment (kg/year)]],"")</f>
        <v/>
      </c>
      <c r="BT152" s="19"/>
    </row>
    <row r="153" spans="1:72">
      <c r="A153" s="43" t="s">
        <v>158</v>
      </c>
      <c r="B153" s="43" t="s">
        <v>139</v>
      </c>
      <c r="C153" s="43" t="s">
        <v>109</v>
      </c>
      <c r="D153" s="43" t="s">
        <v>110</v>
      </c>
      <c r="G153" s="44">
        <v>0.01</v>
      </c>
      <c r="H153" s="44">
        <v>0</v>
      </c>
      <c r="I153" s="44">
        <v>0.27</v>
      </c>
      <c r="J153" s="43" t="s">
        <v>140</v>
      </c>
      <c r="K153" s="67" t="s">
        <v>159</v>
      </c>
      <c r="N153" s="48"/>
      <c r="O153" s="43" t="s">
        <v>113</v>
      </c>
      <c r="Q153" s="43">
        <v>2010</v>
      </c>
      <c r="U153" s="43" t="s">
        <v>134</v>
      </c>
      <c r="V153" s="43" t="str">
        <f>IFERROR(VLOOKUP(Table1[[#This Row],[LC TMDL Drainage Area]],Dropdowns!$P$3:$Q$23,2,FALSE),"")</f>
        <v>Main Lake</v>
      </c>
      <c r="W153" s="43" t="s">
        <v>115</v>
      </c>
      <c r="X153" s="43" t="s">
        <v>141</v>
      </c>
      <c r="Y153" s="43">
        <v>1.23E-2</v>
      </c>
      <c r="Z153" s="43" t="s">
        <v>136</v>
      </c>
      <c r="AA153" s="43" t="s">
        <v>118</v>
      </c>
      <c r="AB153" s="93"/>
      <c r="AC153" s="93"/>
      <c r="AD153" s="93"/>
      <c r="AE153" s="93"/>
      <c r="AF153" s="43">
        <v>0.26</v>
      </c>
      <c r="AG153" s="43" t="s">
        <v>119</v>
      </c>
      <c r="AH153"/>
      <c r="AI153"/>
      <c r="AJ153"/>
      <c r="AK153"/>
      <c r="AL153"/>
      <c r="AM153">
        <v>0.59</v>
      </c>
      <c r="AN153" s="50">
        <v>0</v>
      </c>
      <c r="AP153" s="79" t="s">
        <v>155</v>
      </c>
      <c r="AQ153" s="79" t="s">
        <v>155</v>
      </c>
      <c r="AR15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8.0783996081147322E-3</v>
      </c>
      <c r="AS15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153"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15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5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53" s="19" t="str">
        <f>IFERROR(Table1[[#This Row],[* Practice Efficiency]]*Table1[[#This Row],[* Load Before Treatment (kg/yr)]],"")</f>
        <v/>
      </c>
      <c r="AX153" s="100">
        <f>Table1[[#This Row],[Manually entered practice effiency ]]*Table1[[#This Row],[* Load Before Treatment (kg/yr)]]</f>
        <v>4.766255768787692E-3</v>
      </c>
      <c r="AY153" s="43" t="s">
        <v>121</v>
      </c>
      <c r="BA153" s="101">
        <v>1</v>
      </c>
      <c r="BB15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4.766255768787692E-3</v>
      </c>
      <c r="BC153" s="44"/>
      <c r="BD153" s="44"/>
      <c r="BJ153" s="43"/>
      <c r="BK153" s="45"/>
      <c r="BL153" s="45"/>
      <c r="BM15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5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5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5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5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53" s="19" t="str">
        <f>IFERROR(Table1[[#This Row],[* Prior Practice Efficiency]]*Table1[[#This Row],[* Prior Load Before Treatment (kg/year)]],"")</f>
        <v/>
      </c>
      <c r="BT153" s="19"/>
    </row>
    <row r="154" spans="1:72">
      <c r="B154" s="43" t="s">
        <v>502</v>
      </c>
      <c r="C154" s="43" t="s">
        <v>109</v>
      </c>
      <c r="D154" s="43" t="s">
        <v>110</v>
      </c>
      <c r="G154" s="44">
        <v>2.0230000000000001</v>
      </c>
      <c r="H154" s="44">
        <v>0</v>
      </c>
      <c r="I154" s="44">
        <v>6.8239999999999998</v>
      </c>
      <c r="J154" s="43" t="s">
        <v>503</v>
      </c>
      <c r="K154" s="43" t="s">
        <v>159</v>
      </c>
      <c r="N154" s="48"/>
      <c r="O154" s="43" t="s">
        <v>113</v>
      </c>
      <c r="Q154" s="43">
        <v>2021</v>
      </c>
      <c r="U154" s="43" t="s">
        <v>214</v>
      </c>
      <c r="V154" s="43" t="s">
        <v>504</v>
      </c>
      <c r="W154" s="43" t="s">
        <v>115</v>
      </c>
      <c r="X154" s="43" t="s">
        <v>170</v>
      </c>
      <c r="Y154" s="43">
        <v>2.0230000000000001</v>
      </c>
      <c r="Z154" s="43" t="s">
        <v>117</v>
      </c>
      <c r="AA154" s="43" t="s">
        <v>118</v>
      </c>
      <c r="AF154" s="43">
        <v>4.8010000000000002</v>
      </c>
      <c r="AG154" s="43" t="s">
        <v>119</v>
      </c>
      <c r="AN154" s="50">
        <v>9054.75</v>
      </c>
      <c r="AO154" s="43" t="s">
        <v>384</v>
      </c>
      <c r="AP154" s="19"/>
      <c r="AQ154" s="19"/>
      <c r="AR15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1.6388570580073019</v>
      </c>
      <c r="AS15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0.80249385818108254</v>
      </c>
      <c r="AT154"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1.0000000000000009E-2</v>
      </c>
      <c r="AU15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1.2469290905412492E-2</v>
      </c>
      <c r="AV15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0.98012469290905413</v>
      </c>
      <c r="AW154" s="19">
        <f>IFERROR(Table1[[#This Row],[* Practice Efficiency]]*Table1[[#This Row],[* Load Before Treatment (kg/yr)]],"")</f>
        <v>1.6062842707012426</v>
      </c>
      <c r="AX154" s="100">
        <v>0</v>
      </c>
      <c r="AY154" s="44" t="s">
        <v>121</v>
      </c>
      <c r="BA154" s="101">
        <v>1</v>
      </c>
      <c r="BB15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1.6062842707012426</v>
      </c>
      <c r="BC154" s="44"/>
      <c r="BD154" s="44"/>
      <c r="BJ154" s="43"/>
      <c r="BK154" s="45"/>
      <c r="BL154" s="45"/>
      <c r="BM15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5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5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5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5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54" s="19" t="str">
        <f>IFERROR(Table1[[#This Row],[* Prior Practice Efficiency]]*Table1[[#This Row],[* Prior Load Before Treatment (kg/year)]],"")</f>
        <v/>
      </c>
      <c r="BT154" s="19"/>
    </row>
    <row r="155" spans="1:72">
      <c r="B155" s="43" t="s">
        <v>502</v>
      </c>
      <c r="C155" s="43" t="s">
        <v>109</v>
      </c>
      <c r="D155" s="43" t="s">
        <v>110</v>
      </c>
      <c r="G155" s="44">
        <v>5.8789999999999996</v>
      </c>
      <c r="H155" s="44">
        <v>0</v>
      </c>
      <c r="I155" s="44">
        <v>11.923</v>
      </c>
      <c r="J155" s="43" t="s">
        <v>503</v>
      </c>
      <c r="K155" s="43" t="s">
        <v>505</v>
      </c>
      <c r="N155" s="48"/>
      <c r="O155" s="43" t="s">
        <v>113</v>
      </c>
      <c r="Q155" s="43">
        <v>2021</v>
      </c>
      <c r="U155" s="43" t="s">
        <v>214</v>
      </c>
      <c r="V155" s="43" t="s">
        <v>504</v>
      </c>
      <c r="W155" s="43" t="s">
        <v>115</v>
      </c>
      <c r="X155" s="43" t="s">
        <v>170</v>
      </c>
      <c r="Y155" s="43">
        <v>5.8789999999999996</v>
      </c>
      <c r="Z155" s="43" t="s">
        <v>117</v>
      </c>
      <c r="AA155" s="43" t="s">
        <v>118</v>
      </c>
      <c r="AF155" s="43">
        <v>6.0439999999999996</v>
      </c>
      <c r="AG155" s="43" t="s">
        <v>119</v>
      </c>
      <c r="AN155" s="50">
        <v>17261.88</v>
      </c>
      <c r="AO155" s="43" t="s">
        <v>384</v>
      </c>
      <c r="AP155" s="19"/>
      <c r="AQ155" s="19"/>
      <c r="AR15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4.762649848751817</v>
      </c>
      <c r="AS15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0.67592780357364357</v>
      </c>
      <c r="AT155"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4.0000000000000036E-2</v>
      </c>
      <c r="AU15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0.37963901786821785</v>
      </c>
      <c r="AV15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0.95518556071472871</v>
      </c>
      <c r="AW155" s="19">
        <f>IFERROR(Table1[[#This Row],[* Practice Efficiency]]*Table1[[#This Row],[* Load Before Treatment (kg/yr)]],"")</f>
        <v>4.5492143662679219</v>
      </c>
      <c r="AX155" s="100">
        <v>0</v>
      </c>
      <c r="AY155" s="44" t="s">
        <v>121</v>
      </c>
      <c r="BA155" s="101">
        <v>1</v>
      </c>
      <c r="BB15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4.5492143662679219</v>
      </c>
      <c r="BC155" s="44"/>
      <c r="BD155" s="44"/>
      <c r="BJ155" s="43"/>
      <c r="BK155" s="45"/>
      <c r="BL155" s="45"/>
      <c r="BM15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5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5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5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5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55" s="19" t="str">
        <f>IFERROR(Table1[[#This Row],[* Prior Practice Efficiency]]*Table1[[#This Row],[* Prior Load Before Treatment (kg/year)]],"")</f>
        <v/>
      </c>
      <c r="BT155" s="19"/>
    </row>
    <row r="156" spans="1:72">
      <c r="A156" s="43" t="s">
        <v>445</v>
      </c>
      <c r="B156" s="43" t="s">
        <v>446</v>
      </c>
      <c r="C156" s="43" t="s">
        <v>109</v>
      </c>
      <c r="D156" s="43" t="s">
        <v>110</v>
      </c>
      <c r="G156" s="44">
        <v>0.27</v>
      </c>
      <c r="H156" s="44">
        <v>0.37</v>
      </c>
      <c r="I156" s="44">
        <v>0.6</v>
      </c>
      <c r="J156" s="43" t="s">
        <v>447</v>
      </c>
      <c r="K156" s="67" t="s">
        <v>112</v>
      </c>
      <c r="N156" s="48"/>
      <c r="O156" s="43" t="s">
        <v>113</v>
      </c>
      <c r="Q156" s="43">
        <v>2018</v>
      </c>
      <c r="U156" s="43" t="s">
        <v>214</v>
      </c>
      <c r="V156" s="43" t="str">
        <f>IFERROR(VLOOKUP(Table1[[#This Row],[LC TMDL Drainage Area]],Dropdowns!$P$3:$Q$23,2,FALSE),"")</f>
        <v>Malletts Bay</v>
      </c>
      <c r="W156" s="43" t="s">
        <v>115</v>
      </c>
      <c r="X156" s="43" t="s">
        <v>124</v>
      </c>
      <c r="Y156" s="43">
        <v>0.22</v>
      </c>
      <c r="Z156" s="43" t="s">
        <v>136</v>
      </c>
      <c r="AA156" s="43" t="s">
        <v>118</v>
      </c>
      <c r="AB156" s="93"/>
      <c r="AC156" s="93"/>
      <c r="AD156" s="93"/>
      <c r="AE156" s="93"/>
      <c r="AF156" s="43">
        <v>0.38</v>
      </c>
      <c r="AG156" s="43" t="s">
        <v>119</v>
      </c>
      <c r="AH156">
        <v>2.5</v>
      </c>
      <c r="AI156">
        <v>0.25</v>
      </c>
      <c r="AJ156">
        <v>3</v>
      </c>
      <c r="AK156">
        <v>215</v>
      </c>
      <c r="AL156">
        <v>167.91499999999999</v>
      </c>
      <c r="AM156"/>
      <c r="AN156" s="50">
        <v>174.6875</v>
      </c>
      <c r="AP156" s="79" t="s">
        <v>120</v>
      </c>
      <c r="AQ156" s="79" t="s">
        <v>120</v>
      </c>
      <c r="AR15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0.14675045980745652</v>
      </c>
      <c r="AS15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0.19816527669661393</v>
      </c>
      <c r="AT15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15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0.98165276696613923</v>
      </c>
      <c r="AV15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2.9449583008984179E-2</v>
      </c>
      <c r="AW156" s="19">
        <f>IFERROR(Table1[[#This Row],[* Practice Efficiency]]*Table1[[#This Row],[* Load Before Treatment (kg/yr)]],"")</f>
        <v>4.3217398477062869E-3</v>
      </c>
      <c r="AX156" s="100">
        <f>Table1[[#This Row],[Manually entered practice effiency ]]*Table1[[#This Row],[* Load Before Treatment (kg/yr)]]</f>
        <v>0</v>
      </c>
      <c r="AY156" s="43" t="s">
        <v>121</v>
      </c>
      <c r="BA156" s="101">
        <v>1</v>
      </c>
      <c r="BB15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4.3217398477062869E-3</v>
      </c>
      <c r="BC156" s="44"/>
      <c r="BD156" s="44"/>
      <c r="BJ156" s="43"/>
      <c r="BK156" s="45"/>
      <c r="BL156" s="45"/>
      <c r="BM15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5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5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5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5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56" s="19" t="str">
        <f>IFERROR(Table1[[#This Row],[* Prior Practice Efficiency]]*Table1[[#This Row],[* Prior Load Before Treatment (kg/year)]],"")</f>
        <v/>
      </c>
      <c r="BT156" s="19"/>
    </row>
    <row r="157" spans="1:72">
      <c r="A157" s="43" t="s">
        <v>448</v>
      </c>
      <c r="B157" s="43" t="s">
        <v>446</v>
      </c>
      <c r="C157" s="43" t="s">
        <v>109</v>
      </c>
      <c r="D157" s="43" t="s">
        <v>110</v>
      </c>
      <c r="G157" s="44">
        <v>0.12</v>
      </c>
      <c r="H157" s="44">
        <v>1.18</v>
      </c>
      <c r="I157" s="44">
        <v>0.54</v>
      </c>
      <c r="J157" s="43" t="s">
        <v>447</v>
      </c>
      <c r="K157" s="67" t="s">
        <v>129</v>
      </c>
      <c r="N157" s="48"/>
      <c r="O157" s="43" t="s">
        <v>113</v>
      </c>
      <c r="Q157" s="43">
        <v>2018</v>
      </c>
      <c r="U157" s="43" t="s">
        <v>214</v>
      </c>
      <c r="V157" s="43" t="str">
        <f>IFERROR(VLOOKUP(Table1[[#This Row],[LC TMDL Drainage Area]],Dropdowns!$P$3:$Q$23,2,FALSE),"")</f>
        <v>Malletts Bay</v>
      </c>
      <c r="W157" s="43" t="s">
        <v>115</v>
      </c>
      <c r="X157" s="43" t="s">
        <v>124</v>
      </c>
      <c r="Y157" s="43">
        <v>0.33</v>
      </c>
      <c r="Z157" s="43" t="s">
        <v>146</v>
      </c>
      <c r="AA157" s="43" t="s">
        <v>118</v>
      </c>
      <c r="AB157" s="93"/>
      <c r="AC157" s="93"/>
      <c r="AD157" s="93"/>
      <c r="AE157" s="93"/>
      <c r="AF157" s="43">
        <v>0.12</v>
      </c>
      <c r="AG157" s="43" t="s">
        <v>119</v>
      </c>
      <c r="AH157">
        <v>2</v>
      </c>
      <c r="AI157">
        <v>0.84</v>
      </c>
      <c r="AJ157">
        <v>2</v>
      </c>
      <c r="AK157">
        <v>500</v>
      </c>
      <c r="AL157">
        <v>202.23699999999999</v>
      </c>
      <c r="AM157"/>
      <c r="AN157" s="50">
        <v>1545.6</v>
      </c>
      <c r="AP157" s="79" t="s">
        <v>120</v>
      </c>
      <c r="AQ157" s="79" t="s">
        <v>120</v>
      </c>
      <c r="AR15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0.34109498787619863</v>
      </c>
      <c r="AS15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1.1547205272005407</v>
      </c>
      <c r="AT15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7.9999999999999988E-2</v>
      </c>
      <c r="AU15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0.30944105440108149</v>
      </c>
      <c r="AV15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0.19475528435208653</v>
      </c>
      <c r="AW157" s="19">
        <f>IFERROR(Table1[[#This Row],[* Practice Efficiency]]*Table1[[#This Row],[* Load Before Treatment (kg/yr)]],"")</f>
        <v>6.6430051354900571E-2</v>
      </c>
      <c r="AX157" s="100">
        <f>Table1[[#This Row],[Manually entered practice effiency ]]*Table1[[#This Row],[* Load Before Treatment (kg/yr)]]</f>
        <v>0</v>
      </c>
      <c r="AY157" s="43" t="s">
        <v>121</v>
      </c>
      <c r="BA157" s="101">
        <v>1</v>
      </c>
      <c r="BB15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6.6430051354900571E-2</v>
      </c>
      <c r="BC157" s="44"/>
      <c r="BD157" s="44"/>
      <c r="BJ157" s="43"/>
      <c r="BK157" s="45"/>
      <c r="BL157" s="45"/>
      <c r="BM15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5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5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5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5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57" s="19" t="str">
        <f>IFERROR(Table1[[#This Row],[* Prior Practice Efficiency]]*Table1[[#This Row],[* Prior Load Before Treatment (kg/year)]],"")</f>
        <v/>
      </c>
      <c r="BT157" s="19"/>
    </row>
    <row r="158" spans="1:72">
      <c r="A158" s="43" t="s">
        <v>445</v>
      </c>
      <c r="B158" s="43" t="s">
        <v>446</v>
      </c>
      <c r="C158" s="43" t="s">
        <v>109</v>
      </c>
      <c r="D158" s="43" t="s">
        <v>110</v>
      </c>
      <c r="G158" s="44">
        <v>0.27</v>
      </c>
      <c r="H158" s="44">
        <v>0.37</v>
      </c>
      <c r="I158" s="44">
        <v>0.6</v>
      </c>
      <c r="J158" s="43" t="s">
        <v>449</v>
      </c>
      <c r="K158" s="67" t="s">
        <v>112</v>
      </c>
      <c r="N158" s="48"/>
      <c r="O158" s="43" t="s">
        <v>113</v>
      </c>
      <c r="Q158" s="43">
        <v>2018</v>
      </c>
      <c r="U158" s="43" t="s">
        <v>214</v>
      </c>
      <c r="V158" s="43" t="str">
        <f>IFERROR(VLOOKUP(Table1[[#This Row],[LC TMDL Drainage Area]],Dropdowns!$P$3:$Q$23,2,FALSE),"")</f>
        <v>Malletts Bay</v>
      </c>
      <c r="W158" s="43" t="s">
        <v>115</v>
      </c>
      <c r="X158" s="43" t="s">
        <v>124</v>
      </c>
      <c r="Y158" s="43">
        <v>0.22</v>
      </c>
      <c r="Z158" s="43" t="s">
        <v>136</v>
      </c>
      <c r="AA158" s="43" t="s">
        <v>118</v>
      </c>
      <c r="AB158" s="93"/>
      <c r="AC158" s="93"/>
      <c r="AD158" s="93"/>
      <c r="AE158" s="93"/>
      <c r="AF158" s="43">
        <v>0.38</v>
      </c>
      <c r="AG158" s="43" t="s">
        <v>119</v>
      </c>
      <c r="AH158" s="195">
        <v>2.5</v>
      </c>
      <c r="AI158" s="195">
        <v>0.33</v>
      </c>
      <c r="AJ158">
        <v>3</v>
      </c>
      <c r="AK158">
        <v>215</v>
      </c>
      <c r="AL158"/>
      <c r="AM158"/>
      <c r="AN158" s="50">
        <v>247.61550000000003</v>
      </c>
      <c r="AP158" s="79" t="s">
        <v>120</v>
      </c>
      <c r="AQ158" s="79" t="s">
        <v>120</v>
      </c>
      <c r="AR15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0.14675045980745652</v>
      </c>
      <c r="AS15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0.2722308681998199</v>
      </c>
      <c r="AT15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15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0.36115434099909943</v>
      </c>
      <c r="AV15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3.4446173639963974E-2</v>
      </c>
      <c r="AW158" s="19">
        <f>IFERROR(Table1[[#This Row],[* Practice Efficiency]]*Table1[[#This Row],[* Load Before Treatment (kg/yr)]],"")</f>
        <v>5.0549918202722017E-3</v>
      </c>
      <c r="AX158" s="100">
        <f>Table1[[#This Row],[Manually entered practice effiency ]]*Table1[[#This Row],[* Load Before Treatment (kg/yr)]]</f>
        <v>0</v>
      </c>
      <c r="AY158" s="43" t="s">
        <v>121</v>
      </c>
      <c r="BA158" s="101">
        <v>1</v>
      </c>
      <c r="BB15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5.0549918202722017E-3</v>
      </c>
      <c r="BC158" s="44"/>
      <c r="BD158" s="44"/>
      <c r="BJ158" s="43"/>
      <c r="BK158" s="45"/>
      <c r="BL158" s="45"/>
      <c r="BM15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5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5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5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5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58" s="19" t="str">
        <f>IFERROR(Table1[[#This Row],[* Prior Practice Efficiency]]*Table1[[#This Row],[* Prior Load Before Treatment (kg/year)]],"")</f>
        <v/>
      </c>
      <c r="BT158" s="19"/>
    </row>
    <row r="159" spans="1:72">
      <c r="A159" s="43" t="s">
        <v>448</v>
      </c>
      <c r="B159" s="43" t="s">
        <v>446</v>
      </c>
      <c r="C159" s="43" t="s">
        <v>109</v>
      </c>
      <c r="D159" s="43" t="s">
        <v>110</v>
      </c>
      <c r="G159" s="44">
        <v>0.12</v>
      </c>
      <c r="H159" s="44">
        <v>1.18</v>
      </c>
      <c r="I159" s="44">
        <v>0.54</v>
      </c>
      <c r="J159" s="43" t="s">
        <v>449</v>
      </c>
      <c r="K159" s="67" t="s">
        <v>129</v>
      </c>
      <c r="N159" s="48"/>
      <c r="O159" s="43" t="s">
        <v>113</v>
      </c>
      <c r="Q159" s="43">
        <v>2018</v>
      </c>
      <c r="U159" s="43" t="s">
        <v>214</v>
      </c>
      <c r="V159" s="43" t="str">
        <f>IFERROR(VLOOKUP(Table1[[#This Row],[LC TMDL Drainage Area]],Dropdowns!$P$3:$Q$23,2,FALSE),"")</f>
        <v>Malletts Bay</v>
      </c>
      <c r="W159" s="43" t="s">
        <v>115</v>
      </c>
      <c r="X159" s="43" t="s">
        <v>124</v>
      </c>
      <c r="Y159" s="43">
        <v>0.33</v>
      </c>
      <c r="Z159" s="43" t="s">
        <v>146</v>
      </c>
      <c r="AA159" s="43" t="s">
        <v>118</v>
      </c>
      <c r="AB159" s="93"/>
      <c r="AC159" s="93"/>
      <c r="AD159" s="93"/>
      <c r="AE159" s="93"/>
      <c r="AF159" s="43">
        <v>0.21</v>
      </c>
      <c r="AG159" s="43" t="s">
        <v>119</v>
      </c>
      <c r="AH159" s="195">
        <v>2</v>
      </c>
      <c r="AI159" s="195">
        <v>0.4</v>
      </c>
      <c r="AJ159">
        <v>2.5</v>
      </c>
      <c r="AK159">
        <v>500</v>
      </c>
      <c r="AL159"/>
      <c r="AM159"/>
      <c r="AN159" s="50">
        <v>600.00000000000011</v>
      </c>
      <c r="AP159" s="79" t="s">
        <v>120</v>
      </c>
      <c r="AQ159" s="79" t="s">
        <v>120</v>
      </c>
      <c r="AR15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0.34109498787619863</v>
      </c>
      <c r="AS15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0.46191619881803819</v>
      </c>
      <c r="AT15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15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0.30958099409019091</v>
      </c>
      <c r="AV15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6.2383239763607642E-2</v>
      </c>
      <c r="AW159" s="19">
        <f>IFERROR(Table1[[#This Row],[* Practice Efficiency]]*Table1[[#This Row],[* Load Before Treatment (kg/yr)]],"")</f>
        <v>2.1278610410845743E-2</v>
      </c>
      <c r="AX159" s="100">
        <f>Table1[[#This Row],[Manually entered practice effiency ]]*Table1[[#This Row],[* Load Before Treatment (kg/yr)]]</f>
        <v>0</v>
      </c>
      <c r="AY159" s="43" t="s">
        <v>121</v>
      </c>
      <c r="BA159" s="101">
        <v>1</v>
      </c>
      <c r="BB15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2.1278610410845743E-2</v>
      </c>
      <c r="BC159" s="44"/>
      <c r="BD159" s="44"/>
      <c r="BJ159" s="43"/>
      <c r="BK159" s="45"/>
      <c r="BL159" s="45"/>
      <c r="BM15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5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5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5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5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59" s="19" t="str">
        <f>IFERROR(Table1[[#This Row],[* Prior Practice Efficiency]]*Table1[[#This Row],[* Prior Load Before Treatment (kg/year)]],"")</f>
        <v/>
      </c>
      <c r="BT159" s="19" t="s">
        <v>450</v>
      </c>
    </row>
    <row r="160" spans="1:72">
      <c r="A160" s="43" t="s">
        <v>381</v>
      </c>
      <c r="B160" s="43" t="s">
        <v>382</v>
      </c>
      <c r="C160" s="43" t="s">
        <v>109</v>
      </c>
      <c r="D160" s="43" t="s">
        <v>110</v>
      </c>
      <c r="G160" s="44">
        <v>0</v>
      </c>
      <c r="H160" s="44">
        <v>0</v>
      </c>
      <c r="I160" s="44">
        <v>1.3</v>
      </c>
      <c r="J160" s="43" t="s">
        <v>162</v>
      </c>
      <c r="K160" s="67" t="s">
        <v>162</v>
      </c>
      <c r="N160" s="48"/>
      <c r="O160" s="43" t="s">
        <v>113</v>
      </c>
      <c r="Q160" s="43">
        <v>2016</v>
      </c>
      <c r="U160" s="43" t="s">
        <v>214</v>
      </c>
      <c r="V160" s="43" t="str">
        <f>IFERROR(VLOOKUP(Table1[[#This Row],[LC TMDL Drainage Area]],Dropdowns!$P$3:$Q$23,2,FALSE),"")</f>
        <v>Malletts Bay</v>
      </c>
      <c r="W160" s="43" t="s">
        <v>115</v>
      </c>
      <c r="X160" s="43" t="s">
        <v>383</v>
      </c>
      <c r="Y160" s="43">
        <v>1.3</v>
      </c>
      <c r="Z160" s="43" t="s">
        <v>117</v>
      </c>
      <c r="AA160" s="43" t="s">
        <v>118</v>
      </c>
      <c r="AF160" s="43">
        <v>1.0000000000000001E-5</v>
      </c>
      <c r="AG160" s="43" t="s">
        <v>119</v>
      </c>
      <c r="AH160" s="195"/>
      <c r="AI160" s="195"/>
      <c r="AJ160"/>
      <c r="AK160"/>
      <c r="AL160"/>
      <c r="AM160"/>
      <c r="AN160" s="59">
        <v>1737</v>
      </c>
      <c r="AO160" s="43" t="s">
        <v>384</v>
      </c>
      <c r="AP160" s="79" t="s">
        <v>120</v>
      </c>
      <c r="AQ160" s="79" t="s">
        <v>120</v>
      </c>
      <c r="AR16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1.0531459097427049</v>
      </c>
      <c r="AS16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0.36808615669525346</v>
      </c>
      <c r="AT16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0.18999999999999995</v>
      </c>
      <c r="AU16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0.84043078347626721</v>
      </c>
      <c r="AV16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0.65968184886049075</v>
      </c>
      <c r="AW160" s="19">
        <f>IFERROR(Table1[[#This Row],[* Practice Efficiency]]*Table1[[#This Row],[* Load Before Treatment (kg/yr)]],"")</f>
        <v>0.69474124085893108</v>
      </c>
      <c r="AX160" s="100">
        <f>Table1[[#This Row],[Manually entered practice effiency ]]*Table1[[#This Row],[* Load Before Treatment (kg/yr)]]</f>
        <v>0</v>
      </c>
      <c r="AY160" s="43" t="s">
        <v>121</v>
      </c>
      <c r="BA160" s="101">
        <v>1</v>
      </c>
      <c r="BB16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0.69474124085893108</v>
      </c>
      <c r="BC160" s="44"/>
      <c r="BD160" s="44"/>
      <c r="BJ160" s="43"/>
      <c r="BK160" s="45"/>
      <c r="BL160" s="45"/>
      <c r="BM16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6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6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6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6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60" s="19" t="str">
        <f>IFERROR(Table1[[#This Row],[* Prior Practice Efficiency]]*Table1[[#This Row],[* Prior Load Before Treatment (kg/year)]],"")</f>
        <v/>
      </c>
      <c r="BT160" s="19"/>
    </row>
    <row r="161" spans="1:72">
      <c r="A161" s="43" t="s">
        <v>367</v>
      </c>
      <c r="B161" s="43" t="s">
        <v>368</v>
      </c>
      <c r="C161" s="43" t="s">
        <v>109</v>
      </c>
      <c r="D161" s="43" t="s">
        <v>110</v>
      </c>
      <c r="G161" s="44">
        <v>0</v>
      </c>
      <c r="H161" s="44">
        <v>6.87</v>
      </c>
      <c r="I161" s="44">
        <v>2.23</v>
      </c>
      <c r="J161" s="43" t="s">
        <v>369</v>
      </c>
      <c r="K161" s="67" t="s">
        <v>112</v>
      </c>
      <c r="N161" s="48"/>
      <c r="O161" s="43" t="s">
        <v>113</v>
      </c>
      <c r="Q161" s="43">
        <v>2014</v>
      </c>
      <c r="U161" s="43" t="s">
        <v>214</v>
      </c>
      <c r="V161" s="43" t="str">
        <f>IFERROR(VLOOKUP(Table1[[#This Row],[LC TMDL Drainage Area]],Dropdowns!$P$3:$Q$23,2,FALSE),"")</f>
        <v>Malletts Bay</v>
      </c>
      <c r="W161" s="43" t="s">
        <v>115</v>
      </c>
      <c r="X161" s="43" t="s">
        <v>124</v>
      </c>
      <c r="Y161" s="43">
        <v>0.76</v>
      </c>
      <c r="Z161" s="43" t="s">
        <v>117</v>
      </c>
      <c r="AA161" s="43" t="s">
        <v>118</v>
      </c>
      <c r="AB161" s="93"/>
      <c r="AC161" s="93"/>
      <c r="AD161" s="93"/>
      <c r="AE161" s="93"/>
      <c r="AF161" s="43">
        <v>1.47</v>
      </c>
      <c r="AG161" s="43" t="s">
        <v>119</v>
      </c>
      <c r="AH161" s="195">
        <v>6</v>
      </c>
      <c r="AI161" s="195">
        <v>0.37</v>
      </c>
      <c r="AJ161">
        <v>4</v>
      </c>
      <c r="AK161">
        <v>192</v>
      </c>
      <c r="AL161">
        <v>192</v>
      </c>
      <c r="AM161"/>
      <c r="AN161" s="50">
        <v>531.37920000000008</v>
      </c>
      <c r="AP161" s="79" t="s">
        <v>120</v>
      </c>
      <c r="AQ161" s="79" t="s">
        <v>120</v>
      </c>
      <c r="AR16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0.61568530108035058</v>
      </c>
      <c r="AS16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0.17451287882580185</v>
      </c>
      <c r="AT16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16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0.74512878825801843</v>
      </c>
      <c r="AV16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2.2353863647740554E-2</v>
      </c>
      <c r="AW161" s="19">
        <f>IFERROR(Table1[[#This Row],[* Practice Efficiency]]*Table1[[#This Row],[* Load Before Treatment (kg/yr)]],"")</f>
        <v>1.3762945270268247E-2</v>
      </c>
      <c r="AX161" s="100">
        <f>Table1[[#This Row],[Manually entered practice effiency ]]*Table1[[#This Row],[* Load Before Treatment (kg/yr)]]</f>
        <v>0</v>
      </c>
      <c r="AY161" s="43" t="s">
        <v>121</v>
      </c>
      <c r="BA161" s="101">
        <v>1</v>
      </c>
      <c r="BB16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1.3762945270268247E-2</v>
      </c>
      <c r="BC161" s="44"/>
      <c r="BD161" s="44"/>
      <c r="BJ161" s="43"/>
      <c r="BK161" s="45"/>
      <c r="BL161" s="45"/>
      <c r="BM16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6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6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6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6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61" s="19" t="str">
        <f>IFERROR(Table1[[#This Row],[* Prior Practice Efficiency]]*Table1[[#This Row],[* Prior Load Before Treatment (kg/year)]],"")</f>
        <v/>
      </c>
      <c r="BT161" s="19"/>
    </row>
    <row r="162" spans="1:72">
      <c r="A162" s="43" t="s">
        <v>370</v>
      </c>
      <c r="B162" s="43" t="s">
        <v>368</v>
      </c>
      <c r="C162" s="43" t="s">
        <v>109</v>
      </c>
      <c r="D162" s="43" t="s">
        <v>110</v>
      </c>
      <c r="G162" s="44">
        <v>0</v>
      </c>
      <c r="H162" s="44">
        <v>6.87</v>
      </c>
      <c r="I162" s="44">
        <v>2.37</v>
      </c>
      <c r="J162" s="43" t="s">
        <v>369</v>
      </c>
      <c r="K162" s="67" t="s">
        <v>112</v>
      </c>
      <c r="N162" s="48"/>
      <c r="O162" s="43" t="s">
        <v>113</v>
      </c>
      <c r="Q162" s="43">
        <v>2014</v>
      </c>
      <c r="U162" s="43" t="s">
        <v>214</v>
      </c>
      <c r="V162" s="43" t="str">
        <f>IFERROR(VLOOKUP(Table1[[#This Row],[LC TMDL Drainage Area]],Dropdowns!$P$3:$Q$23,2,FALSE),"")</f>
        <v>Malletts Bay</v>
      </c>
      <c r="W162" s="43" t="s">
        <v>115</v>
      </c>
      <c r="X162" s="43" t="s">
        <v>124</v>
      </c>
      <c r="Y162" s="43">
        <v>0.81</v>
      </c>
      <c r="Z162" s="43" t="s">
        <v>117</v>
      </c>
      <c r="AA162" s="43" t="s">
        <v>118</v>
      </c>
      <c r="AB162" s="93"/>
      <c r="AC162" s="93"/>
      <c r="AD162" s="93"/>
      <c r="AE162" s="93"/>
      <c r="AF162" s="43">
        <v>1.56</v>
      </c>
      <c r="AG162" s="43" t="s">
        <v>119</v>
      </c>
      <c r="AH162" s="195">
        <v>6</v>
      </c>
      <c r="AI162" s="195">
        <v>0.38</v>
      </c>
      <c r="AJ162">
        <v>4</v>
      </c>
      <c r="AK162">
        <v>209</v>
      </c>
      <c r="AL162">
        <v>209</v>
      </c>
      <c r="AM162"/>
      <c r="AN162" s="50">
        <v>597.23839999999996</v>
      </c>
      <c r="AP162" s="79" t="s">
        <v>120</v>
      </c>
      <c r="AQ162" s="79" t="s">
        <v>120</v>
      </c>
      <c r="AR16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0.65619091299353161</v>
      </c>
      <c r="AS16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0.18333342710238903</v>
      </c>
      <c r="AT16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16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0.83333427102389024</v>
      </c>
      <c r="AV16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2.5000028130716709E-2</v>
      </c>
      <c r="AW162" s="19">
        <f>IFERROR(Table1[[#This Row],[* Practice Efficiency]]*Table1[[#This Row],[* Load Before Treatment (kg/yr)]],"")</f>
        <v>1.6404791283958969E-2</v>
      </c>
      <c r="AX162" s="100">
        <f>Table1[[#This Row],[Manually entered practice effiency ]]*Table1[[#This Row],[* Load Before Treatment (kg/yr)]]</f>
        <v>0</v>
      </c>
      <c r="AY162" s="43" t="s">
        <v>121</v>
      </c>
      <c r="BA162" s="101">
        <v>1</v>
      </c>
      <c r="BB16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1.6404791283958969E-2</v>
      </c>
      <c r="BC162" s="44"/>
      <c r="BD162" s="44"/>
      <c r="BJ162" s="43"/>
      <c r="BK162" s="45"/>
      <c r="BL162" s="45"/>
      <c r="BM16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6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6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6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6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62" s="19" t="str">
        <f>IFERROR(Table1[[#This Row],[* Prior Practice Efficiency]]*Table1[[#This Row],[* Prior Load Before Treatment (kg/year)]],"")</f>
        <v/>
      </c>
      <c r="BT162" s="19"/>
    </row>
    <row r="163" spans="1:72">
      <c r="B163" s="43" t="s">
        <v>603</v>
      </c>
      <c r="C163" s="43" t="s">
        <v>109</v>
      </c>
      <c r="D163" s="43" t="s">
        <v>110</v>
      </c>
      <c r="G163" s="44">
        <v>0.86</v>
      </c>
      <c r="H163" s="44">
        <v>1.45</v>
      </c>
      <c r="I163" s="44">
        <v>1.31</v>
      </c>
      <c r="J163" s="43" t="s">
        <v>604</v>
      </c>
      <c r="K163" s="43" t="s">
        <v>112</v>
      </c>
      <c r="N163" s="48"/>
      <c r="O163" s="43" t="s">
        <v>605</v>
      </c>
      <c r="P163" s="43">
        <v>2022</v>
      </c>
      <c r="U163" s="43" t="s">
        <v>177</v>
      </c>
      <c r="V163" s="43" t="s">
        <v>177</v>
      </c>
      <c r="W163" s="43" t="s">
        <v>115</v>
      </c>
      <c r="X163" s="43" t="s">
        <v>124</v>
      </c>
      <c r="Y163" s="43">
        <v>0.42</v>
      </c>
      <c r="Z163" s="43" t="s">
        <v>136</v>
      </c>
      <c r="AA163" s="43" t="s">
        <v>118</v>
      </c>
      <c r="AF163" s="43">
        <v>0.89000000000000012</v>
      </c>
      <c r="AG163" s="43" t="s">
        <v>119</v>
      </c>
      <c r="AN163" s="50">
        <v>483.94736</v>
      </c>
      <c r="AP163" s="19"/>
      <c r="AQ163" s="19"/>
      <c r="AR16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0.2881810476576499</v>
      </c>
      <c r="AS16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0.27131475177773468</v>
      </c>
      <c r="AT163"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6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0.35657375888867332</v>
      </c>
      <c r="AV16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3.0697212766660202E-2</v>
      </c>
      <c r="AW163" s="19">
        <f>IFERROR(Table1[[#This Row],[* Practice Efficiency]]*Table1[[#This Row],[* Load Before Treatment (kg/yr)]],"")</f>
        <v>8.8463549352659227E-3</v>
      </c>
      <c r="AX163" s="100">
        <v>0</v>
      </c>
      <c r="AY163" s="44" t="s">
        <v>121</v>
      </c>
      <c r="BA163" s="101">
        <v>1</v>
      </c>
      <c r="BB16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8.8463549352659227E-3</v>
      </c>
      <c r="BC163" s="44"/>
      <c r="BD163" s="44"/>
      <c r="BJ163" s="43"/>
      <c r="BK163" s="45"/>
      <c r="BL163" s="45"/>
      <c r="BM16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6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6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6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6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63" s="19" t="str">
        <f>IFERROR(Table1[[#This Row],[* Prior Practice Efficiency]]*Table1[[#This Row],[* Prior Load Before Treatment (kg/year)]],"")</f>
        <v/>
      </c>
      <c r="BT163" s="19" t="s">
        <v>606</v>
      </c>
    </row>
    <row r="164" spans="1:72" ht="15.75" customHeight="1">
      <c r="B164" s="43" t="s">
        <v>603</v>
      </c>
      <c r="C164" s="43" t="s">
        <v>109</v>
      </c>
      <c r="D164" s="43" t="s">
        <v>110</v>
      </c>
      <c r="G164" s="44">
        <v>0.86</v>
      </c>
      <c r="H164" s="44">
        <v>1.45</v>
      </c>
      <c r="I164" s="44">
        <v>7.38</v>
      </c>
      <c r="J164" s="43" t="s">
        <v>604</v>
      </c>
      <c r="K164" s="43" t="s">
        <v>112</v>
      </c>
      <c r="N164" s="48"/>
      <c r="O164" s="43" t="s">
        <v>605</v>
      </c>
      <c r="P164" s="43">
        <v>2022</v>
      </c>
      <c r="U164" s="43" t="s">
        <v>177</v>
      </c>
      <c r="V164" s="43" t="s">
        <v>177</v>
      </c>
      <c r="W164" s="43" t="s">
        <v>115</v>
      </c>
      <c r="X164" s="43" t="s">
        <v>124</v>
      </c>
      <c r="Y164" s="43">
        <v>0.37</v>
      </c>
      <c r="Z164" s="43" t="s">
        <v>146</v>
      </c>
      <c r="AA164" s="43" t="s">
        <v>118</v>
      </c>
      <c r="AF164" s="43">
        <v>7.01</v>
      </c>
      <c r="AG164" s="43" t="s">
        <v>119</v>
      </c>
      <c r="AN164" s="50">
        <v>433.66400000000004</v>
      </c>
      <c r="AP164" s="19"/>
      <c r="AQ164" s="19"/>
      <c r="AR16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0.39171593764352286</v>
      </c>
      <c r="AS16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0.16444173444962251</v>
      </c>
      <c r="AT164"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0.02</v>
      </c>
      <c r="AU16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0.64441734449622501</v>
      </c>
      <c r="AV16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1.2888346889924501E-2</v>
      </c>
      <c r="AW164" s="19">
        <f>IFERROR(Table1[[#This Row],[* Practice Efficiency]]*Table1[[#This Row],[* Load Before Treatment (kg/yr)]],"")</f>
        <v>5.0485708866617575E-3</v>
      </c>
      <c r="AX164" s="100">
        <v>0</v>
      </c>
      <c r="AY164" s="44" t="s">
        <v>121</v>
      </c>
      <c r="BA164" s="101">
        <v>1</v>
      </c>
      <c r="BB16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5.0485708866617575E-3</v>
      </c>
      <c r="BC164" s="44"/>
      <c r="BD164" s="44"/>
      <c r="BJ164" s="43"/>
      <c r="BK164" s="45"/>
      <c r="BL164" s="45"/>
      <c r="BM16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6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6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6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6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64" s="19" t="str">
        <f>IFERROR(Table1[[#This Row],[* Prior Practice Efficiency]]*Table1[[#This Row],[* Prior Load Before Treatment (kg/year)]],"")</f>
        <v/>
      </c>
      <c r="BT164" s="19" t="s">
        <v>606</v>
      </c>
    </row>
    <row r="165" spans="1:72">
      <c r="B165" s="43" t="s">
        <v>603</v>
      </c>
      <c r="C165" s="43" t="s">
        <v>109</v>
      </c>
      <c r="D165" s="43" t="s">
        <v>110</v>
      </c>
      <c r="G165" s="44">
        <v>0.86</v>
      </c>
      <c r="H165" s="44">
        <v>1.45</v>
      </c>
      <c r="I165" s="44">
        <v>1.58</v>
      </c>
      <c r="J165" s="43" t="s">
        <v>604</v>
      </c>
      <c r="K165" s="43" t="s">
        <v>112</v>
      </c>
      <c r="N165" s="48"/>
      <c r="O165" s="43" t="s">
        <v>605</v>
      </c>
      <c r="P165" s="43">
        <v>2022</v>
      </c>
      <c r="U165" s="43" t="s">
        <v>177</v>
      </c>
      <c r="V165" s="43" t="s">
        <v>177</v>
      </c>
      <c r="W165" s="43" t="s">
        <v>115</v>
      </c>
      <c r="X165" s="43" t="s">
        <v>124</v>
      </c>
      <c r="Y165" s="43">
        <v>0.25</v>
      </c>
      <c r="Z165" s="43" t="s">
        <v>136</v>
      </c>
      <c r="AA165" s="43" t="s">
        <v>118</v>
      </c>
      <c r="AF165" s="43">
        <v>1.33</v>
      </c>
      <c r="AG165" s="43" t="s">
        <v>119</v>
      </c>
      <c r="AN165" s="50">
        <v>460.66944000000007</v>
      </c>
      <c r="AP165" s="19"/>
      <c r="AQ165" s="19"/>
      <c r="AR16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0.17153633789145828</v>
      </c>
      <c r="AS16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0.33426287361210877</v>
      </c>
      <c r="AT165"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6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0.67131436806054379</v>
      </c>
      <c r="AV16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4.0139431041816317E-2</v>
      </c>
      <c r="AW165" s="19">
        <f>IFERROR(Table1[[#This Row],[* Practice Efficiency]]*Table1[[#This Row],[* Load Before Treatment (kg/yr)]],"")</f>
        <v>6.8853710059598927E-3</v>
      </c>
      <c r="AX165" s="100">
        <v>0</v>
      </c>
      <c r="AY165" s="44" t="s">
        <v>121</v>
      </c>
      <c r="BA165" s="101">
        <v>1</v>
      </c>
      <c r="BB16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6.8853710059598927E-3</v>
      </c>
      <c r="BC165" s="44"/>
      <c r="BD165" s="44"/>
      <c r="BJ165" s="43"/>
      <c r="BK165" s="45"/>
      <c r="BL165" s="45"/>
      <c r="BM16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6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6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6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6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65" s="19" t="str">
        <f>IFERROR(Table1[[#This Row],[* Prior Practice Efficiency]]*Table1[[#This Row],[* Prior Load Before Treatment (kg/year)]],"")</f>
        <v/>
      </c>
      <c r="BT165" s="19" t="s">
        <v>606</v>
      </c>
    </row>
    <row r="166" spans="1:72">
      <c r="B166" s="43" t="s">
        <v>603</v>
      </c>
      <c r="C166" s="43" t="s">
        <v>109</v>
      </c>
      <c r="D166" s="43" t="s">
        <v>110</v>
      </c>
      <c r="G166" s="44">
        <v>0.86</v>
      </c>
      <c r="H166" s="44">
        <v>1.45</v>
      </c>
      <c r="I166" s="44">
        <v>2.71</v>
      </c>
      <c r="J166" s="43" t="s">
        <v>604</v>
      </c>
      <c r="K166" s="43" t="s">
        <v>112</v>
      </c>
      <c r="N166" s="48"/>
      <c r="O166" s="43" t="s">
        <v>605</v>
      </c>
      <c r="P166" s="43">
        <v>2022</v>
      </c>
      <c r="U166" s="43" t="s">
        <v>177</v>
      </c>
      <c r="V166" s="43" t="s">
        <v>177</v>
      </c>
      <c r="W166" s="43" t="s">
        <v>115</v>
      </c>
      <c r="X166" s="43" t="s">
        <v>124</v>
      </c>
      <c r="Y166" s="43">
        <v>0.43</v>
      </c>
      <c r="Z166" s="43" t="s">
        <v>136</v>
      </c>
      <c r="AA166" s="43" t="s">
        <v>118</v>
      </c>
      <c r="AF166" s="43">
        <v>2.2799999999999998</v>
      </c>
      <c r="AG166" s="43" t="s">
        <v>119</v>
      </c>
      <c r="AN166" s="50">
        <v>544.27199999999993</v>
      </c>
      <c r="AP166" s="19"/>
      <c r="AQ166" s="19"/>
      <c r="AR16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0.29504250117330821</v>
      </c>
      <c r="AS16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0.25007630077466847</v>
      </c>
      <c r="AT166"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6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0.25038150387334229</v>
      </c>
      <c r="AV16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2.7511445116200271E-2</v>
      </c>
      <c r="AW166" s="19">
        <f>IFERROR(Table1[[#This Row],[* Practice Efficiency]]*Table1[[#This Row],[* Load Before Treatment (kg/yr)]],"")</f>
        <v>8.1170455779759221E-3</v>
      </c>
      <c r="AX166" s="100">
        <v>0</v>
      </c>
      <c r="AY166" s="44" t="s">
        <v>121</v>
      </c>
      <c r="BA166" s="101">
        <v>1</v>
      </c>
      <c r="BB16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8.1170455779759221E-3</v>
      </c>
      <c r="BC166" s="44"/>
      <c r="BD166" s="44"/>
      <c r="BJ166" s="43"/>
      <c r="BK166" s="45"/>
      <c r="BL166" s="45"/>
      <c r="BM16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6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6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6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6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66" s="19" t="str">
        <f>IFERROR(Table1[[#This Row],[* Prior Practice Efficiency]]*Table1[[#This Row],[* Prior Load Before Treatment (kg/year)]],"")</f>
        <v/>
      </c>
      <c r="BT166" s="19" t="s">
        <v>606</v>
      </c>
    </row>
    <row r="167" spans="1:72">
      <c r="B167" s="43" t="s">
        <v>603</v>
      </c>
      <c r="C167" s="43" t="s">
        <v>109</v>
      </c>
      <c r="D167" s="43" t="s">
        <v>110</v>
      </c>
      <c r="G167" s="44">
        <v>0.09</v>
      </c>
      <c r="H167" s="44">
        <v>0.56999999999999995</v>
      </c>
      <c r="I167" s="44">
        <v>1.0900000000000001</v>
      </c>
      <c r="J167" s="43" t="s">
        <v>604</v>
      </c>
      <c r="K167" s="43" t="s">
        <v>150</v>
      </c>
      <c r="N167" s="48"/>
      <c r="O167" s="43" t="s">
        <v>605</v>
      </c>
      <c r="P167" s="43">
        <v>2022</v>
      </c>
      <c r="U167" s="43" t="s">
        <v>177</v>
      </c>
      <c r="V167" s="43" t="s">
        <v>177</v>
      </c>
      <c r="W167" s="43" t="s">
        <v>115</v>
      </c>
      <c r="X167" s="43" t="s">
        <v>124</v>
      </c>
      <c r="Y167" s="43">
        <v>0.3</v>
      </c>
      <c r="Z167" s="43" t="s">
        <v>136</v>
      </c>
      <c r="AA167" s="43" t="s">
        <v>118</v>
      </c>
      <c r="AF167" s="43">
        <v>0.79</v>
      </c>
      <c r="AG167" s="43" t="s">
        <v>119</v>
      </c>
      <c r="AN167" s="50">
        <v>523.0451599999999</v>
      </c>
      <c r="AP167" s="19"/>
      <c r="AQ167" s="19"/>
      <c r="AR16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0.20584360546974992</v>
      </c>
      <c r="AS16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0.37370343935017764</v>
      </c>
      <c r="AT167"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6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0.86851719675088812</v>
      </c>
      <c r="AV16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4.6055515902526642E-2</v>
      </c>
      <c r="AW167" s="19">
        <f>IFERROR(Table1[[#This Row],[* Practice Efficiency]]*Table1[[#This Row],[* Load Before Treatment (kg/yr)]],"")</f>
        <v>9.4802334451454875E-3</v>
      </c>
      <c r="AX167" s="100">
        <v>0</v>
      </c>
      <c r="AY167" s="44" t="s">
        <v>121</v>
      </c>
      <c r="BA167" s="101">
        <v>1</v>
      </c>
      <c r="BB16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9.4802334451454875E-3</v>
      </c>
      <c r="BC167" s="44"/>
      <c r="BD167" s="44"/>
      <c r="BJ167" s="43"/>
      <c r="BK167" s="45"/>
      <c r="BL167" s="45"/>
      <c r="BM16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6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6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6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6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67" s="19" t="str">
        <f>IFERROR(Table1[[#This Row],[* Prior Practice Efficiency]]*Table1[[#This Row],[* Prior Load Before Treatment (kg/year)]],"")</f>
        <v/>
      </c>
      <c r="BT167" s="19" t="s">
        <v>606</v>
      </c>
    </row>
    <row r="168" spans="1:72">
      <c r="B168" s="43" t="s">
        <v>603</v>
      </c>
      <c r="C168" s="43" t="s">
        <v>109</v>
      </c>
      <c r="D168" s="43" t="s">
        <v>110</v>
      </c>
      <c r="G168" s="44">
        <v>0.09</v>
      </c>
      <c r="H168" s="44">
        <v>0.56999999999999995</v>
      </c>
      <c r="I168" s="44">
        <v>1.43</v>
      </c>
      <c r="J168" s="43" t="s">
        <v>604</v>
      </c>
      <c r="K168" s="43" t="s">
        <v>150</v>
      </c>
      <c r="N168" s="48"/>
      <c r="O168" s="43" t="s">
        <v>605</v>
      </c>
      <c r="P168" s="43">
        <v>2022</v>
      </c>
      <c r="U168" s="43" t="s">
        <v>177</v>
      </c>
      <c r="V168" s="43" t="s">
        <v>177</v>
      </c>
      <c r="W168" s="43" t="s">
        <v>115</v>
      </c>
      <c r="X168" s="43" t="s">
        <v>124</v>
      </c>
      <c r="Y168" s="43">
        <v>0.28000000000000003</v>
      </c>
      <c r="Z168" s="43" t="s">
        <v>136</v>
      </c>
      <c r="AA168" s="43" t="s">
        <v>118</v>
      </c>
      <c r="AF168" s="43">
        <v>1.1499999999999999</v>
      </c>
      <c r="AG168" s="43" t="s">
        <v>119</v>
      </c>
      <c r="AN168" s="50">
        <v>517.62348000000009</v>
      </c>
      <c r="AP168" s="19"/>
      <c r="AQ168" s="19"/>
      <c r="AR16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0.1921206984384333</v>
      </c>
      <c r="AS16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0.35709519465224132</v>
      </c>
      <c r="AT168"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6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0.78547597326120655</v>
      </c>
      <c r="AV16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4.3564279197836203E-2</v>
      </c>
      <c r="AW168" s="19">
        <f>IFERROR(Table1[[#This Row],[* Practice Efficiency]]*Table1[[#This Row],[* Load Before Treatment (kg/yr)]],"")</f>
        <v>8.3695997464552016E-3</v>
      </c>
      <c r="AX168" s="100">
        <v>0</v>
      </c>
      <c r="AY168" s="44" t="s">
        <v>121</v>
      </c>
      <c r="BA168" s="101">
        <v>1</v>
      </c>
      <c r="BB16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8.3695997464552016E-3</v>
      </c>
      <c r="BC168" s="44"/>
      <c r="BD168" s="44"/>
      <c r="BJ168" s="43"/>
      <c r="BK168" s="45"/>
      <c r="BL168" s="45"/>
      <c r="BM16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6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6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6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6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68" s="19" t="str">
        <f>IFERROR(Table1[[#This Row],[* Prior Practice Efficiency]]*Table1[[#This Row],[* Prior Load Before Treatment (kg/year)]],"")</f>
        <v/>
      </c>
      <c r="BT168" s="19" t="s">
        <v>606</v>
      </c>
    </row>
    <row r="169" spans="1:72">
      <c r="B169" s="43" t="s">
        <v>603</v>
      </c>
      <c r="C169" s="43" t="s">
        <v>109</v>
      </c>
      <c r="D169" s="43" t="s">
        <v>110</v>
      </c>
      <c r="G169" s="44">
        <v>0.19</v>
      </c>
      <c r="H169" s="44">
        <v>0.77</v>
      </c>
      <c r="I169" s="44">
        <v>6.19</v>
      </c>
      <c r="J169" s="43" t="s">
        <v>604</v>
      </c>
      <c r="K169" s="43" t="s">
        <v>129</v>
      </c>
      <c r="N169" s="48"/>
      <c r="O169" s="43" t="s">
        <v>605</v>
      </c>
      <c r="P169" s="43">
        <v>2022</v>
      </c>
      <c r="U169" s="43" t="s">
        <v>177</v>
      </c>
      <c r="V169" s="43" t="s">
        <v>177</v>
      </c>
      <c r="W169" s="43" t="s">
        <v>115</v>
      </c>
      <c r="X169" s="43" t="s">
        <v>124</v>
      </c>
      <c r="Y169" s="43">
        <v>0.46</v>
      </c>
      <c r="Z169" s="43" t="s">
        <v>136</v>
      </c>
      <c r="AA169" s="43" t="s">
        <v>118</v>
      </c>
      <c r="AF169" s="43">
        <v>5.73</v>
      </c>
      <c r="AG169" s="43" t="s">
        <v>119</v>
      </c>
      <c r="AN169" s="50">
        <v>1505.66624</v>
      </c>
      <c r="AP169" s="19"/>
      <c r="AQ169" s="19"/>
      <c r="AR16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0.31562686172028326</v>
      </c>
      <c r="AS16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0.38021646525923658</v>
      </c>
      <c r="AT169"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6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0.90108232629618279</v>
      </c>
      <c r="AV16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4.7032469788885485E-2</v>
      </c>
      <c r="AW169" s="19">
        <f>IFERROR(Table1[[#This Row],[* Practice Efficiency]]*Table1[[#This Row],[* Load Before Treatment (kg/yr)]],"")</f>
        <v>1.4844710838419959E-2</v>
      </c>
      <c r="AX169" s="100">
        <v>0</v>
      </c>
      <c r="AY169" s="44" t="s">
        <v>121</v>
      </c>
      <c r="BA169" s="101">
        <v>1</v>
      </c>
      <c r="BB16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1.4844710838419959E-2</v>
      </c>
      <c r="BC169" s="44"/>
      <c r="BD169" s="44"/>
      <c r="BJ169" s="43"/>
      <c r="BK169" s="45"/>
      <c r="BL169" s="45"/>
      <c r="BM16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6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6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6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6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69" s="19" t="str">
        <f>IFERROR(Table1[[#This Row],[* Prior Practice Efficiency]]*Table1[[#This Row],[* Prior Load Before Treatment (kg/year)]],"")</f>
        <v/>
      </c>
      <c r="BT169" s="19" t="s">
        <v>606</v>
      </c>
    </row>
    <row r="170" spans="1:72">
      <c r="B170" s="43" t="s">
        <v>603</v>
      </c>
      <c r="C170" s="43" t="s">
        <v>109</v>
      </c>
      <c r="D170" s="43" t="s">
        <v>110</v>
      </c>
      <c r="G170" s="44">
        <v>0.19</v>
      </c>
      <c r="H170" s="44">
        <v>0.77</v>
      </c>
      <c r="I170" s="44">
        <v>0.22</v>
      </c>
      <c r="J170" s="43" t="s">
        <v>604</v>
      </c>
      <c r="K170" s="43" t="s">
        <v>129</v>
      </c>
      <c r="N170" s="48"/>
      <c r="O170" s="43" t="s">
        <v>605</v>
      </c>
      <c r="P170" s="43">
        <v>2022</v>
      </c>
      <c r="U170" s="43" t="s">
        <v>177</v>
      </c>
      <c r="V170" s="43" t="s">
        <v>177</v>
      </c>
      <c r="W170" s="43" t="s">
        <v>115</v>
      </c>
      <c r="X170" s="43" t="s">
        <v>124</v>
      </c>
      <c r="Y170" s="43">
        <v>0.11</v>
      </c>
      <c r="Z170" s="43" t="s">
        <v>136</v>
      </c>
      <c r="AA170" s="43" t="s">
        <v>118</v>
      </c>
      <c r="AF170" s="43">
        <v>9.9999999999999995E-7</v>
      </c>
      <c r="AG170" s="43" t="s">
        <v>119</v>
      </c>
      <c r="AN170" s="50">
        <v>232.85660000000001</v>
      </c>
      <c r="AP170" s="19"/>
      <c r="AQ170" s="19"/>
      <c r="AR17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7.5475988672241645E-2</v>
      </c>
      <c r="AS17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0.58316115437425275</v>
      </c>
      <c r="AT170"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17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0.91580577187126389</v>
      </c>
      <c r="AV17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8.6632230874850558E-2</v>
      </c>
      <c r="AW170" s="19">
        <f>IFERROR(Table1[[#This Row],[* Practice Efficiency]]*Table1[[#This Row],[* Load Before Treatment (kg/yr)]],"")</f>
        <v>6.5386532761612434E-3</v>
      </c>
      <c r="AX170" s="100">
        <v>0</v>
      </c>
      <c r="AY170" s="44" t="s">
        <v>121</v>
      </c>
      <c r="BA170" s="101">
        <v>1</v>
      </c>
      <c r="BB17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6.5386532761612434E-3</v>
      </c>
      <c r="BC170" s="44"/>
      <c r="BD170" s="44"/>
      <c r="BJ170" s="43"/>
      <c r="BK170" s="45"/>
      <c r="BL170" s="45"/>
      <c r="BM17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7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7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7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7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70" s="19" t="str">
        <f>IFERROR(Table1[[#This Row],[* Prior Practice Efficiency]]*Table1[[#This Row],[* Prior Load Before Treatment (kg/year)]],"")</f>
        <v/>
      </c>
      <c r="BT170" s="19" t="s">
        <v>606</v>
      </c>
    </row>
    <row r="171" spans="1:72">
      <c r="B171" s="43" t="s">
        <v>603</v>
      </c>
      <c r="C171" s="43" t="s">
        <v>109</v>
      </c>
      <c r="D171" s="43" t="s">
        <v>110</v>
      </c>
      <c r="G171" s="44">
        <v>0.24</v>
      </c>
      <c r="H171" s="44">
        <v>0.74</v>
      </c>
      <c r="I171" s="44">
        <v>0.4</v>
      </c>
      <c r="J171" s="43" t="s">
        <v>604</v>
      </c>
      <c r="K171" s="43" t="s">
        <v>148</v>
      </c>
      <c r="N171" s="48"/>
      <c r="O171" s="43" t="s">
        <v>605</v>
      </c>
      <c r="P171" s="43">
        <v>2022</v>
      </c>
      <c r="U171" s="43" t="s">
        <v>177</v>
      </c>
      <c r="V171" s="43" t="s">
        <v>177</v>
      </c>
      <c r="W171" s="43" t="s">
        <v>115</v>
      </c>
      <c r="X171" s="43" t="s">
        <v>124</v>
      </c>
      <c r="Y171" s="43">
        <v>0.4</v>
      </c>
      <c r="Z171" s="43" t="s">
        <v>136</v>
      </c>
      <c r="AA171" s="43" t="s">
        <v>118</v>
      </c>
      <c r="AF171" s="43">
        <v>9.9999999999999995E-7</v>
      </c>
      <c r="AG171" s="43" t="s">
        <v>119</v>
      </c>
      <c r="AN171" s="50">
        <v>269.16991999999999</v>
      </c>
      <c r="AP171" s="19"/>
      <c r="AQ171" s="19"/>
      <c r="AR17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0.27445814062633328</v>
      </c>
      <c r="AS17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0.18537870652458649</v>
      </c>
      <c r="AT171"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0.02</v>
      </c>
      <c r="AU17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0.85378706524586478</v>
      </c>
      <c r="AV17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1.7075741304917295E-2</v>
      </c>
      <c r="AW171" s="19">
        <f>IFERROR(Table1[[#This Row],[* Practice Efficiency]]*Table1[[#This Row],[* Load Before Treatment (kg/yr)]],"")</f>
        <v>4.6865762083638787E-3</v>
      </c>
      <c r="AX171" s="100">
        <v>0</v>
      </c>
      <c r="AY171" s="44" t="s">
        <v>121</v>
      </c>
      <c r="BA171" s="101">
        <v>1</v>
      </c>
      <c r="BB17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4.6865762083638787E-3</v>
      </c>
      <c r="BC171" s="44"/>
      <c r="BD171" s="44"/>
      <c r="BJ171" s="43"/>
      <c r="BK171" s="45"/>
      <c r="BL171" s="45"/>
      <c r="BM17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7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7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7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7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71" s="19" t="str">
        <f>IFERROR(Table1[[#This Row],[* Prior Practice Efficiency]]*Table1[[#This Row],[* Prior Load Before Treatment (kg/year)]],"")</f>
        <v/>
      </c>
      <c r="BT171" s="19" t="s">
        <v>606</v>
      </c>
    </row>
    <row r="172" spans="1:72">
      <c r="B172" s="43" t="s">
        <v>603</v>
      </c>
      <c r="C172" s="43" t="s">
        <v>109</v>
      </c>
      <c r="D172" s="43" t="s">
        <v>110</v>
      </c>
      <c r="G172" s="44">
        <v>0.24</v>
      </c>
      <c r="H172" s="44">
        <v>0.74</v>
      </c>
      <c r="I172" s="44">
        <v>0.34</v>
      </c>
      <c r="J172" s="43" t="s">
        <v>604</v>
      </c>
      <c r="K172" s="43" t="s">
        <v>148</v>
      </c>
      <c r="N172" s="48"/>
      <c r="O172" s="43" t="s">
        <v>605</v>
      </c>
      <c r="P172" s="43">
        <v>2022</v>
      </c>
      <c r="U172" s="43" t="s">
        <v>177</v>
      </c>
      <c r="V172" s="43" t="s">
        <v>177</v>
      </c>
      <c r="W172" s="43" t="s">
        <v>115</v>
      </c>
      <c r="X172" s="43" t="s">
        <v>124</v>
      </c>
      <c r="Y172" s="43">
        <v>0.16</v>
      </c>
      <c r="Z172" s="43" t="s">
        <v>136</v>
      </c>
      <c r="AA172" s="43" t="s">
        <v>118</v>
      </c>
      <c r="AF172" s="43">
        <v>9.9999999999999995E-7</v>
      </c>
      <c r="AG172" s="43" t="s">
        <v>119</v>
      </c>
      <c r="AN172" s="50">
        <v>288.35136</v>
      </c>
      <c r="AP172" s="19"/>
      <c r="AQ172" s="19"/>
      <c r="AR17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0.1097832562505333</v>
      </c>
      <c r="AS17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0.49647228656370224</v>
      </c>
      <c r="AT172"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17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0.48236143281851118</v>
      </c>
      <c r="AV17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6.9294457312740448E-2</v>
      </c>
      <c r="AW172" s="19">
        <f>IFERROR(Table1[[#This Row],[* Practice Efficiency]]*Table1[[#This Row],[* Load Before Treatment (kg/yr)]],"")</f>
        <v>7.6073711639062253E-3</v>
      </c>
      <c r="AX172" s="100">
        <v>0</v>
      </c>
      <c r="AY172" s="44" t="s">
        <v>121</v>
      </c>
      <c r="BA172" s="101">
        <v>1</v>
      </c>
      <c r="BB17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7.6073711639062253E-3</v>
      </c>
      <c r="BC172" s="44"/>
      <c r="BD172" s="44"/>
      <c r="BJ172" s="43"/>
      <c r="BK172" s="45"/>
      <c r="BL172" s="45"/>
      <c r="BM17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7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7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7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7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72" s="19" t="str">
        <f>IFERROR(Table1[[#This Row],[* Prior Practice Efficiency]]*Table1[[#This Row],[* Prior Load Before Treatment (kg/year)]],"")</f>
        <v/>
      </c>
      <c r="BT172" s="19" t="s">
        <v>606</v>
      </c>
    </row>
    <row r="173" spans="1:72">
      <c r="B173" s="43" t="s">
        <v>603</v>
      </c>
      <c r="C173" s="43" t="s">
        <v>109</v>
      </c>
      <c r="D173" s="43" t="s">
        <v>110</v>
      </c>
      <c r="G173" s="44">
        <v>0.19</v>
      </c>
      <c r="H173" s="44">
        <v>1.1000000000000001</v>
      </c>
      <c r="I173" s="44">
        <v>0.42</v>
      </c>
      <c r="J173" s="43" t="s">
        <v>604</v>
      </c>
      <c r="K173" s="43" t="s">
        <v>154</v>
      </c>
      <c r="N173" s="48"/>
      <c r="O173" s="43" t="s">
        <v>605</v>
      </c>
      <c r="P173" s="43">
        <v>2022</v>
      </c>
      <c r="U173" s="43" t="s">
        <v>177</v>
      </c>
      <c r="V173" s="43" t="s">
        <v>177</v>
      </c>
      <c r="W173" s="43" t="s">
        <v>115</v>
      </c>
      <c r="X173" s="43" t="s">
        <v>124</v>
      </c>
      <c r="Y173" s="43">
        <v>0.18</v>
      </c>
      <c r="Z173" s="43" t="s">
        <v>136</v>
      </c>
      <c r="AA173" s="43" t="s">
        <v>118</v>
      </c>
      <c r="AF173" s="43">
        <v>9.9999999999999995E-7</v>
      </c>
      <c r="AG173" s="43" t="s">
        <v>119</v>
      </c>
      <c r="AN173" s="50">
        <v>295.2</v>
      </c>
      <c r="AP173" s="19"/>
      <c r="AQ173" s="19"/>
      <c r="AR17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0.12350616328184996</v>
      </c>
      <c r="AS17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0.45179030793400821</v>
      </c>
      <c r="AT173"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17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0.25895153967004098</v>
      </c>
      <c r="AV17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6.035806158680164E-2</v>
      </c>
      <c r="AW173" s="19">
        <f>IFERROR(Table1[[#This Row],[* Practice Efficiency]]*Table1[[#This Row],[* Load Before Treatment (kg/yr)]],"")</f>
        <v>7.454592609715479E-3</v>
      </c>
      <c r="AX173" s="100">
        <v>0</v>
      </c>
      <c r="AY173" s="44" t="s">
        <v>121</v>
      </c>
      <c r="BA173" s="101">
        <v>1</v>
      </c>
      <c r="BB17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7.454592609715479E-3</v>
      </c>
      <c r="BC173" s="44"/>
      <c r="BD173" s="44"/>
      <c r="BJ173" s="43"/>
      <c r="BK173" s="45"/>
      <c r="BL173" s="45"/>
      <c r="BM17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7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7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7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7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73" s="19" t="str">
        <f>IFERROR(Table1[[#This Row],[* Prior Practice Efficiency]]*Table1[[#This Row],[* Prior Load Before Treatment (kg/year)]],"")</f>
        <v/>
      </c>
      <c r="BT173" s="19" t="s">
        <v>606</v>
      </c>
    </row>
    <row r="174" spans="1:72">
      <c r="B174" s="43" t="s">
        <v>603</v>
      </c>
      <c r="C174" s="43" t="s">
        <v>109</v>
      </c>
      <c r="D174" s="43" t="s">
        <v>110</v>
      </c>
      <c r="G174" s="44">
        <v>0.19</v>
      </c>
      <c r="H174" s="44">
        <v>1.1000000000000001</v>
      </c>
      <c r="I174" s="44">
        <v>6.41</v>
      </c>
      <c r="J174" s="43" t="s">
        <v>604</v>
      </c>
      <c r="K174" s="43" t="s">
        <v>154</v>
      </c>
      <c r="N174" s="48"/>
      <c r="O174" s="43" t="s">
        <v>605</v>
      </c>
      <c r="P174" s="43">
        <v>2022</v>
      </c>
      <c r="U174" s="43" t="s">
        <v>177</v>
      </c>
      <c r="V174" s="43" t="s">
        <v>177</v>
      </c>
      <c r="W174" s="43" t="s">
        <v>115</v>
      </c>
      <c r="X174" s="43" t="s">
        <v>124</v>
      </c>
      <c r="Y174" s="43">
        <v>4.8</v>
      </c>
      <c r="Z174" s="43" t="s">
        <v>136</v>
      </c>
      <c r="AA174" s="43" t="s">
        <v>118</v>
      </c>
      <c r="AF174" s="43">
        <v>9.9999999999999995E-7</v>
      </c>
      <c r="AG174" s="43" t="s">
        <v>119</v>
      </c>
      <c r="AN174" s="50">
        <v>793.19723999999997</v>
      </c>
      <c r="AP174" s="19"/>
      <c r="AQ174" s="19"/>
      <c r="AR17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3.2934976875159987</v>
      </c>
      <c r="AS17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4.552325738528052E-2</v>
      </c>
      <c r="AT17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17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7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74" s="19" t="str">
        <f>IFERROR(Table1[[#This Row],[* Practice Efficiency]]*Table1[[#This Row],[* Load Before Treatment (kg/yr)]],"")</f>
        <v/>
      </c>
      <c r="AX174" s="100">
        <v>0</v>
      </c>
      <c r="AY174" s="44" t="s">
        <v>121</v>
      </c>
      <c r="BA174" s="101">
        <v>1</v>
      </c>
      <c r="BB17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174" s="44"/>
      <c r="BD174" s="44"/>
      <c r="BJ174" s="43"/>
      <c r="BK174" s="45"/>
      <c r="BL174" s="45"/>
      <c r="BM17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7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7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7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7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74" s="19" t="str">
        <f>IFERROR(Table1[[#This Row],[* Prior Practice Efficiency]]*Table1[[#This Row],[* Prior Load Before Treatment (kg/year)]],"")</f>
        <v/>
      </c>
      <c r="BT174" s="19" t="s">
        <v>606</v>
      </c>
    </row>
    <row r="175" spans="1:72">
      <c r="B175" s="43" t="s">
        <v>603</v>
      </c>
      <c r="C175" s="43" t="s">
        <v>109</v>
      </c>
      <c r="D175" s="43" t="s">
        <v>110</v>
      </c>
      <c r="G175" s="44">
        <v>0.28000000000000003</v>
      </c>
      <c r="H175" s="44">
        <v>1.3</v>
      </c>
      <c r="I175" s="44">
        <v>3.02</v>
      </c>
      <c r="J175" s="43" t="s">
        <v>604</v>
      </c>
      <c r="K175" s="43" t="s">
        <v>157</v>
      </c>
      <c r="N175" s="48"/>
      <c r="O175" s="43" t="s">
        <v>605</v>
      </c>
      <c r="P175" s="43">
        <v>2022</v>
      </c>
      <c r="U175" s="43" t="s">
        <v>177</v>
      </c>
      <c r="V175" s="43" t="s">
        <v>177</v>
      </c>
      <c r="W175" s="43" t="s">
        <v>115</v>
      </c>
      <c r="X175" s="43" t="s">
        <v>124</v>
      </c>
      <c r="Y175" s="43">
        <v>0.85</v>
      </c>
      <c r="Z175" s="43" t="s">
        <v>136</v>
      </c>
      <c r="AA175" s="43" t="s">
        <v>118</v>
      </c>
      <c r="AF175" s="43">
        <v>9.9999999999999995E-7</v>
      </c>
      <c r="AG175" s="43" t="s">
        <v>119</v>
      </c>
      <c r="AN175" s="50">
        <v>1382.46912</v>
      </c>
      <c r="AP175" s="19"/>
      <c r="AQ175" s="19"/>
      <c r="AR17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0.58322354883095817</v>
      </c>
      <c r="AS17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0.44805344709838141</v>
      </c>
      <c r="AT175"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17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0.24026723549190698</v>
      </c>
      <c r="AV17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5.9610689419676281E-2</v>
      </c>
      <c r="AW175" s="19">
        <f>IFERROR(Table1[[#This Row],[* Practice Efficiency]]*Table1[[#This Row],[* Load Before Treatment (kg/yr)]],"")</f>
        <v>3.4766357831603652E-2</v>
      </c>
      <c r="AX175" s="100">
        <v>0</v>
      </c>
      <c r="AY175" s="44" t="s">
        <v>121</v>
      </c>
      <c r="BA175" s="101">
        <v>1</v>
      </c>
      <c r="BB17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3.4766357831603652E-2</v>
      </c>
      <c r="BC175" s="44"/>
      <c r="BD175" s="44"/>
      <c r="BJ175" s="43"/>
      <c r="BK175" s="45"/>
      <c r="BL175" s="45"/>
      <c r="BM17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7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7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7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7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75" s="19" t="str">
        <f>IFERROR(Table1[[#This Row],[* Prior Practice Efficiency]]*Table1[[#This Row],[* Prior Load Before Treatment (kg/year)]],"")</f>
        <v/>
      </c>
      <c r="BT175" s="19" t="s">
        <v>606</v>
      </c>
    </row>
    <row r="176" spans="1:72">
      <c r="B176" s="43" t="s">
        <v>634</v>
      </c>
      <c r="C176" s="43" t="s">
        <v>109</v>
      </c>
      <c r="D176" s="43" t="s">
        <v>110</v>
      </c>
      <c r="I176" s="44">
        <v>4.63</v>
      </c>
      <c r="J176" s="43" t="s">
        <v>635</v>
      </c>
      <c r="K176" s="43" t="s">
        <v>112</v>
      </c>
      <c r="N176" s="48"/>
      <c r="O176" s="43" t="s">
        <v>598</v>
      </c>
      <c r="P176" s="43">
        <v>2029</v>
      </c>
      <c r="U176" s="43" t="s">
        <v>177</v>
      </c>
      <c r="V176" s="43" t="s">
        <v>177</v>
      </c>
      <c r="X176" s="43" t="s">
        <v>124</v>
      </c>
      <c r="Y176" s="43">
        <v>1.1599999999999999</v>
      </c>
      <c r="Z176" s="43" t="s">
        <v>136</v>
      </c>
      <c r="AA176" s="43" t="s">
        <v>118</v>
      </c>
      <c r="AF176" s="43">
        <v>3.47</v>
      </c>
      <c r="AG176" s="43" t="s">
        <v>119</v>
      </c>
      <c r="AN176" s="50">
        <v>490.19800000000004</v>
      </c>
      <c r="AP176" s="19"/>
      <c r="AQ176" s="19"/>
      <c r="AR17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0.79592860781636632</v>
      </c>
      <c r="AS17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0.10547718339264218</v>
      </c>
      <c r="AT176"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0.02</v>
      </c>
      <c r="AU17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5.4771833926421792E-2</v>
      </c>
      <c r="AV17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1.0954366785284359E-3</v>
      </c>
      <c r="AW176" s="19">
        <f>IFERROR(Table1[[#This Row],[* Practice Efficiency]]*Table1[[#This Row],[* Load Before Treatment (kg/yr)]],"")</f>
        <v>8.718893904921224E-4</v>
      </c>
      <c r="AX176" s="100">
        <v>0</v>
      </c>
      <c r="AY176" s="44" t="s">
        <v>121</v>
      </c>
      <c r="BA176" s="101">
        <v>1</v>
      </c>
      <c r="BB17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8.718893904921224E-4</v>
      </c>
      <c r="BC176" s="44"/>
      <c r="BD176" s="44"/>
      <c r="BJ176" s="43"/>
      <c r="BK176" s="45"/>
      <c r="BL176" s="45"/>
      <c r="BM17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7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7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7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7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76" s="19" t="str">
        <f>IFERROR(Table1[[#This Row],[* Prior Practice Efficiency]]*Table1[[#This Row],[* Prior Load Before Treatment (kg/year)]],"")</f>
        <v/>
      </c>
      <c r="BT176" s="19" t="s">
        <v>510</v>
      </c>
    </row>
    <row r="177" spans="2:72">
      <c r="B177" s="43" t="s">
        <v>634</v>
      </c>
      <c r="C177" s="43" t="s">
        <v>109</v>
      </c>
      <c r="D177" s="43" t="s">
        <v>110</v>
      </c>
      <c r="G177" s="44">
        <v>0.1</v>
      </c>
      <c r="H177" s="44">
        <v>0</v>
      </c>
      <c r="I177" s="44">
        <v>0.97</v>
      </c>
      <c r="J177" s="43" t="s">
        <v>635</v>
      </c>
      <c r="K177" s="43" t="s">
        <v>112</v>
      </c>
      <c r="N177" s="48"/>
      <c r="O177" s="43" t="s">
        <v>598</v>
      </c>
      <c r="P177" s="43">
        <v>2029</v>
      </c>
      <c r="U177" s="43" t="s">
        <v>177</v>
      </c>
      <c r="V177" s="43" t="s">
        <v>177</v>
      </c>
      <c r="X177" s="43" t="s">
        <v>124</v>
      </c>
      <c r="Y177" s="43">
        <v>0.75</v>
      </c>
      <c r="Z177" s="43" t="s">
        <v>136</v>
      </c>
      <c r="AA177" s="43" t="s">
        <v>118</v>
      </c>
      <c r="AF177" s="43">
        <v>0.22</v>
      </c>
      <c r="AG177" s="43" t="s">
        <v>119</v>
      </c>
      <c r="AN177" s="50">
        <v>526.16479000000004</v>
      </c>
      <c r="AP177" s="19"/>
      <c r="AQ177" s="19"/>
      <c r="AR17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0.51460901367437484</v>
      </c>
      <c r="AS17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0.19003854852052249</v>
      </c>
      <c r="AT177"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0.02</v>
      </c>
      <c r="AU17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0.90038548520522477</v>
      </c>
      <c r="AV17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1.8007709704104497E-2</v>
      </c>
      <c r="AW177" s="19">
        <f>IFERROR(Table1[[#This Row],[* Practice Efficiency]]*Table1[[#This Row],[* Load Before Treatment (kg/yr)]],"")</f>
        <v>9.2669297293636842E-3</v>
      </c>
      <c r="AX177" s="100">
        <v>0</v>
      </c>
      <c r="AY177" s="44" t="s">
        <v>121</v>
      </c>
      <c r="BA177" s="101">
        <v>1</v>
      </c>
      <c r="BB17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9.2669297293636842E-3</v>
      </c>
      <c r="BC177" s="44"/>
      <c r="BD177" s="44"/>
      <c r="BJ177" s="43"/>
      <c r="BK177" s="45"/>
      <c r="BL177" s="45"/>
      <c r="BM17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7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7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7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7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77" s="19" t="str">
        <f>IFERROR(Table1[[#This Row],[* Prior Practice Efficiency]]*Table1[[#This Row],[* Prior Load Before Treatment (kg/year)]],"")</f>
        <v/>
      </c>
      <c r="BT177" s="19" t="s">
        <v>510</v>
      </c>
    </row>
    <row r="178" spans="2:72">
      <c r="B178" s="43" t="s">
        <v>634</v>
      </c>
      <c r="C178" s="43" t="s">
        <v>109</v>
      </c>
      <c r="D178" s="43" t="s">
        <v>110</v>
      </c>
      <c r="G178" s="44">
        <v>0.3</v>
      </c>
      <c r="H178" s="44">
        <v>0</v>
      </c>
      <c r="I178" s="44">
        <v>0.73</v>
      </c>
      <c r="J178" s="43" t="s">
        <v>635</v>
      </c>
      <c r="K178" s="43" t="s">
        <v>112</v>
      </c>
      <c r="N178" s="48"/>
      <c r="O178" s="43" t="s">
        <v>598</v>
      </c>
      <c r="P178" s="43">
        <v>2029</v>
      </c>
      <c r="U178" s="43" t="s">
        <v>177</v>
      </c>
      <c r="V178" s="43" t="s">
        <v>177</v>
      </c>
      <c r="X178" s="43" t="s">
        <v>124</v>
      </c>
      <c r="Y178" s="43">
        <v>0.51</v>
      </c>
      <c r="Z178" s="43" t="s">
        <v>136</v>
      </c>
      <c r="AA178" s="43" t="s">
        <v>118</v>
      </c>
      <c r="AF178" s="43">
        <v>0.22</v>
      </c>
      <c r="AG178" s="43" t="s">
        <v>119</v>
      </c>
      <c r="AN178" s="50">
        <v>715.53160000000003</v>
      </c>
      <c r="AP178" s="19"/>
      <c r="AQ178" s="19"/>
      <c r="AR17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0.34993412929857487</v>
      </c>
      <c r="AS17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0.36942754876700779</v>
      </c>
      <c r="AT178"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7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0.84713774383503881</v>
      </c>
      <c r="AV17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4.5414132315051162E-2</v>
      </c>
      <c r="AW178" s="19">
        <f>IFERROR(Table1[[#This Row],[* Practice Efficiency]]*Table1[[#This Row],[* Load Before Treatment (kg/yr)]],"")</f>
        <v>1.5891954849517699E-2</v>
      </c>
      <c r="AX178" s="100">
        <v>0</v>
      </c>
      <c r="AY178" s="44" t="s">
        <v>121</v>
      </c>
      <c r="BA178" s="101">
        <v>1</v>
      </c>
      <c r="BB17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1.5891954849517699E-2</v>
      </c>
      <c r="BC178" s="44"/>
      <c r="BD178" s="44"/>
      <c r="BJ178" s="43"/>
      <c r="BK178" s="45"/>
      <c r="BL178" s="45"/>
      <c r="BM17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7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7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7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7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78" s="19" t="str">
        <f>IFERROR(Table1[[#This Row],[* Prior Practice Efficiency]]*Table1[[#This Row],[* Prior Load Before Treatment (kg/year)]],"")</f>
        <v/>
      </c>
      <c r="BT178" s="19" t="s">
        <v>510</v>
      </c>
    </row>
    <row r="179" spans="2:72">
      <c r="B179" s="43" t="s">
        <v>634</v>
      </c>
      <c r="C179" s="43" t="s">
        <v>109</v>
      </c>
      <c r="D179" s="43" t="s">
        <v>110</v>
      </c>
      <c r="G179" s="44">
        <v>0.17499999999999999</v>
      </c>
      <c r="H179" s="44">
        <v>0</v>
      </c>
      <c r="I179" s="44">
        <v>0.62</v>
      </c>
      <c r="J179" s="43" t="s">
        <v>635</v>
      </c>
      <c r="K179" s="43" t="s">
        <v>129</v>
      </c>
      <c r="N179" s="48"/>
      <c r="O179" s="43" t="s">
        <v>598</v>
      </c>
      <c r="P179" s="43">
        <v>2029</v>
      </c>
      <c r="U179" s="43" t="s">
        <v>177</v>
      </c>
      <c r="V179" s="43" t="s">
        <v>177</v>
      </c>
      <c r="X179" s="43" t="s">
        <v>124</v>
      </c>
      <c r="Y179" s="43">
        <v>0.32800000000000001</v>
      </c>
      <c r="Z179" s="43" t="s">
        <v>136</v>
      </c>
      <c r="AA179" s="43" t="s">
        <v>118</v>
      </c>
      <c r="AF179" s="43">
        <v>0.29199999999999998</v>
      </c>
      <c r="AG179" s="43" t="s">
        <v>119</v>
      </c>
      <c r="AN179" s="50">
        <v>599.09400000000005</v>
      </c>
      <c r="AP179" s="19"/>
      <c r="AQ179" s="19"/>
      <c r="AR17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0.22505567531359327</v>
      </c>
      <c r="AS17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0.45112856209970914</v>
      </c>
      <c r="AT179"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17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0.25564281049854565</v>
      </c>
      <c r="AV17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6.0225712419941825E-2</v>
      </c>
      <c r="AW179" s="19">
        <f>IFERROR(Table1[[#This Row],[* Practice Efficiency]]*Table1[[#This Row],[* Load Before Treatment (kg/yr)]],"")</f>
        <v>1.3554138379912269E-2</v>
      </c>
      <c r="AX179" s="100">
        <v>0</v>
      </c>
      <c r="AY179" s="44" t="s">
        <v>121</v>
      </c>
      <c r="BA179" s="101">
        <v>1</v>
      </c>
      <c r="BB17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1.3554138379912269E-2</v>
      </c>
      <c r="BC179" s="44"/>
      <c r="BD179" s="44"/>
      <c r="BJ179" s="43"/>
      <c r="BK179" s="45"/>
      <c r="BL179" s="45"/>
      <c r="BM17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7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7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7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7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79" s="19" t="str">
        <f>IFERROR(Table1[[#This Row],[* Prior Practice Efficiency]]*Table1[[#This Row],[* Prior Load Before Treatment (kg/year)]],"")</f>
        <v/>
      </c>
      <c r="BT179" s="19" t="s">
        <v>510</v>
      </c>
    </row>
    <row r="180" spans="2:72">
      <c r="B180" s="43" t="s">
        <v>634</v>
      </c>
      <c r="C180" s="43" t="s">
        <v>109</v>
      </c>
      <c r="D180" s="43" t="s">
        <v>110</v>
      </c>
      <c r="G180" s="44">
        <v>0.18099999999999999</v>
      </c>
      <c r="H180" s="44">
        <v>0</v>
      </c>
      <c r="I180" s="44">
        <v>0.503</v>
      </c>
      <c r="J180" s="43" t="s">
        <v>635</v>
      </c>
      <c r="K180" s="43" t="s">
        <v>129</v>
      </c>
      <c r="N180" s="48"/>
      <c r="O180" s="43" t="s">
        <v>598</v>
      </c>
      <c r="P180" s="43">
        <v>2029</v>
      </c>
      <c r="U180" s="43" t="s">
        <v>177</v>
      </c>
      <c r="V180" s="43" t="s">
        <v>177</v>
      </c>
      <c r="X180" s="43" t="s">
        <v>124</v>
      </c>
      <c r="Y180" s="43">
        <v>0.314</v>
      </c>
      <c r="Z180" s="43" t="s">
        <v>136</v>
      </c>
      <c r="AA180" s="43" t="s">
        <v>118</v>
      </c>
      <c r="AF180" s="43">
        <v>0.189</v>
      </c>
      <c r="AG180" s="43" t="s">
        <v>119</v>
      </c>
      <c r="AN180" s="50">
        <v>447.29607000000004</v>
      </c>
      <c r="AP180" s="19"/>
      <c r="AQ180" s="19"/>
      <c r="AR18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0.21544964039167161</v>
      </c>
      <c r="AS18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0.36869396909468483</v>
      </c>
      <c r="AT180"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8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0.84346984547342407</v>
      </c>
      <c r="AV18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4.5304095364202726E-2</v>
      </c>
      <c r="AW180" s="19">
        <f>IFERROR(Table1[[#This Row],[* Practice Efficiency]]*Table1[[#This Row],[* Load Before Treatment (kg/yr)]],"")</f>
        <v>9.7607510544874734E-3</v>
      </c>
      <c r="AX180" s="100">
        <v>0</v>
      </c>
      <c r="AY180" s="44" t="s">
        <v>121</v>
      </c>
      <c r="BA180" s="101">
        <v>1</v>
      </c>
      <c r="BB18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9.7607510544874734E-3</v>
      </c>
      <c r="BC180" s="44"/>
      <c r="BD180" s="44"/>
      <c r="BJ180" s="43"/>
      <c r="BK180" s="45"/>
      <c r="BL180" s="45"/>
      <c r="BM18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8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8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8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8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80" s="19" t="str">
        <f>IFERROR(Table1[[#This Row],[* Prior Practice Efficiency]]*Table1[[#This Row],[* Prior Load Before Treatment (kg/year)]],"")</f>
        <v/>
      </c>
      <c r="BT180" s="19" t="s">
        <v>510</v>
      </c>
    </row>
    <row r="181" spans="2:72">
      <c r="B181" s="43" t="s">
        <v>634</v>
      </c>
      <c r="C181" s="43" t="s">
        <v>109</v>
      </c>
      <c r="D181" s="43" t="s">
        <v>110</v>
      </c>
      <c r="G181" s="44">
        <v>0.26300000000000001</v>
      </c>
      <c r="H181" s="44">
        <v>0</v>
      </c>
      <c r="I181" s="44">
        <v>2.0289999999999999</v>
      </c>
      <c r="J181" s="43" t="s">
        <v>635</v>
      </c>
      <c r="K181" s="43" t="s">
        <v>129</v>
      </c>
      <c r="N181" s="48"/>
      <c r="O181" s="43" t="s">
        <v>598</v>
      </c>
      <c r="P181" s="43">
        <v>2029</v>
      </c>
      <c r="U181" s="43" t="s">
        <v>177</v>
      </c>
      <c r="V181" s="43" t="s">
        <v>177</v>
      </c>
      <c r="X181" s="43" t="s">
        <v>124</v>
      </c>
      <c r="Y181" s="43">
        <v>1.4</v>
      </c>
      <c r="Z181" s="43" t="s">
        <v>136</v>
      </c>
      <c r="AA181" s="43" t="s">
        <v>118</v>
      </c>
      <c r="AF181" s="43">
        <v>0.6331</v>
      </c>
      <c r="AG181" s="43" t="s">
        <v>119</v>
      </c>
      <c r="AN181" s="50">
        <v>973.37427000000014</v>
      </c>
      <c r="AP181" s="19"/>
      <c r="AQ181" s="19"/>
      <c r="AR18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0.96060349219216634</v>
      </c>
      <c r="AS18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0.186722879099117</v>
      </c>
      <c r="AT181"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0.02</v>
      </c>
      <c r="AU18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0.8672287909911699</v>
      </c>
      <c r="AV18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1.7344575819823398E-2</v>
      </c>
      <c r="AW181" s="19">
        <f>IFERROR(Table1[[#This Row],[* Practice Efficiency]]*Table1[[#This Row],[* Load Before Treatment (kg/yr)]],"")</f>
        <v>1.6661260103114164E-2</v>
      </c>
      <c r="AX181" s="100">
        <v>0</v>
      </c>
      <c r="AY181" s="44" t="s">
        <v>121</v>
      </c>
      <c r="BA181" s="101">
        <v>1</v>
      </c>
      <c r="BB18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1.6661260103114164E-2</v>
      </c>
      <c r="BC181" s="44"/>
      <c r="BD181" s="44"/>
      <c r="BJ181" s="43"/>
      <c r="BK181" s="45"/>
      <c r="BL181" s="45"/>
      <c r="BM18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8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8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8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8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81" s="19" t="str">
        <f>IFERROR(Table1[[#This Row],[* Prior Practice Efficiency]]*Table1[[#This Row],[* Prior Load Before Treatment (kg/year)]],"")</f>
        <v/>
      </c>
      <c r="BT181" s="19" t="s">
        <v>510</v>
      </c>
    </row>
    <row r="182" spans="2:72">
      <c r="B182" s="43" t="s">
        <v>632</v>
      </c>
      <c r="C182" s="43" t="s">
        <v>109</v>
      </c>
      <c r="D182" s="43" t="s">
        <v>110</v>
      </c>
      <c r="G182" s="44">
        <v>0.84</v>
      </c>
      <c r="H182" s="44">
        <v>1.86</v>
      </c>
      <c r="I182" s="44">
        <v>6.36</v>
      </c>
      <c r="J182" s="43" t="s">
        <v>633</v>
      </c>
      <c r="K182" s="43" t="s">
        <v>112</v>
      </c>
      <c r="N182" s="48"/>
      <c r="O182" s="43" t="s">
        <v>598</v>
      </c>
      <c r="P182" s="43">
        <v>2027</v>
      </c>
      <c r="U182" s="43" t="s">
        <v>398</v>
      </c>
      <c r="V182" s="43" t="s">
        <v>177</v>
      </c>
      <c r="X182" s="43" t="s">
        <v>124</v>
      </c>
      <c r="Y182" s="43">
        <v>0.25</v>
      </c>
      <c r="Z182" s="43" t="s">
        <v>136</v>
      </c>
      <c r="AA182" s="43" t="s">
        <v>118</v>
      </c>
      <c r="AF182" s="43">
        <v>6.55</v>
      </c>
      <c r="AG182" s="43" t="s">
        <v>119</v>
      </c>
      <c r="AN182" s="50">
        <v>1019.8655999999999</v>
      </c>
      <c r="AP182" s="19"/>
      <c r="AQ182" s="19"/>
      <c r="AR18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0.2007525486537878</v>
      </c>
      <c r="AS18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0.32334226377853748</v>
      </c>
      <c r="AT182"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8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0.61671131889268727</v>
      </c>
      <c r="AV18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3.8501339566780618E-2</v>
      </c>
      <c r="AW182" s="19">
        <f>IFERROR(Table1[[#This Row],[* Practice Efficiency]]*Table1[[#This Row],[* Load Before Treatment (kg/yr)]],"")</f>
        <v>7.7292420446161319E-3</v>
      </c>
      <c r="AX182" s="100">
        <v>0</v>
      </c>
      <c r="AY182" s="44" t="s">
        <v>121</v>
      </c>
      <c r="BA182" s="101">
        <v>1</v>
      </c>
      <c r="BB18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7.7292420446161319E-3</v>
      </c>
      <c r="BC182" s="44"/>
      <c r="BD182" s="44"/>
      <c r="BJ182" s="43"/>
      <c r="BK182" s="45"/>
      <c r="BL182" s="45"/>
      <c r="BM18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8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8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8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8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82" s="19" t="str">
        <f>IFERROR(Table1[[#This Row],[* Prior Practice Efficiency]]*Table1[[#This Row],[* Prior Load Before Treatment (kg/year)]],"")</f>
        <v/>
      </c>
      <c r="BT182" s="19" t="s">
        <v>510</v>
      </c>
    </row>
    <row r="183" spans="2:72">
      <c r="B183" s="43" t="s">
        <v>632</v>
      </c>
      <c r="C183" s="43" t="s">
        <v>109</v>
      </c>
      <c r="D183" s="43" t="s">
        <v>110</v>
      </c>
      <c r="G183" s="44">
        <v>0.84</v>
      </c>
      <c r="H183" s="44">
        <v>1.86</v>
      </c>
      <c r="I183" s="44">
        <v>6.36</v>
      </c>
      <c r="J183" s="43" t="s">
        <v>633</v>
      </c>
      <c r="K183" s="43" t="s">
        <v>112</v>
      </c>
      <c r="N183" s="48"/>
      <c r="O183" s="43" t="s">
        <v>598</v>
      </c>
      <c r="P183" s="43">
        <v>2027</v>
      </c>
      <c r="U183" s="43" t="s">
        <v>398</v>
      </c>
      <c r="V183" s="43" t="s">
        <v>177</v>
      </c>
      <c r="X183" s="43" t="s">
        <v>124</v>
      </c>
      <c r="Y183" s="43">
        <v>1.73</v>
      </c>
      <c r="Z183" s="43" t="s">
        <v>136</v>
      </c>
      <c r="AA183" s="43" t="s">
        <v>118</v>
      </c>
      <c r="AF183" s="43">
        <v>84.31</v>
      </c>
      <c r="AG183" s="43" t="s">
        <v>119</v>
      </c>
      <c r="AN183" s="50">
        <v>11285.787499999999</v>
      </c>
      <c r="AP183" s="19"/>
      <c r="AQ183" s="19"/>
      <c r="AR18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1.3892076366842117</v>
      </c>
      <c r="AS18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0.32181227719719913</v>
      </c>
      <c r="AT183"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8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0.60906138598599557</v>
      </c>
      <c r="AV18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3.8271841579579871E-2</v>
      </c>
      <c r="AW183" s="19">
        <f>IFERROR(Table1[[#This Row],[* Practice Efficiency]]*Table1[[#This Row],[* Load Before Treatment (kg/yr)]],"")</f>
        <v>5.3167534592320702E-2</v>
      </c>
      <c r="AX183" s="100">
        <v>0</v>
      </c>
      <c r="AY183" s="44" t="s">
        <v>121</v>
      </c>
      <c r="BA183" s="101">
        <v>1</v>
      </c>
      <c r="BB18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5.3167534592320702E-2</v>
      </c>
      <c r="BC183" s="44"/>
      <c r="BD183" s="44"/>
      <c r="BJ183" s="43"/>
      <c r="BK183" s="45"/>
      <c r="BL183" s="45"/>
      <c r="BM18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8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8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8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8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83" s="19" t="str">
        <f>IFERROR(Table1[[#This Row],[* Prior Practice Efficiency]]*Table1[[#This Row],[* Prior Load Before Treatment (kg/year)]],"")</f>
        <v/>
      </c>
      <c r="BT183" s="19" t="s">
        <v>510</v>
      </c>
    </row>
    <row r="184" spans="2:72">
      <c r="B184" s="43" t="s">
        <v>632</v>
      </c>
      <c r="C184" s="43" t="s">
        <v>109</v>
      </c>
      <c r="D184" s="43" t="s">
        <v>110</v>
      </c>
      <c r="G184" s="44">
        <v>0.96</v>
      </c>
      <c r="H184" s="44">
        <v>1.32</v>
      </c>
      <c r="I184" s="44">
        <v>6.37</v>
      </c>
      <c r="J184" s="43" t="s">
        <v>633</v>
      </c>
      <c r="K184" s="43" t="s">
        <v>129</v>
      </c>
      <c r="N184" s="48"/>
      <c r="O184" s="43" t="s">
        <v>598</v>
      </c>
      <c r="P184" s="43">
        <v>2027</v>
      </c>
      <c r="U184" s="43" t="s">
        <v>398</v>
      </c>
      <c r="V184" s="43" t="s">
        <v>177</v>
      </c>
      <c r="X184" s="43" t="s">
        <v>124</v>
      </c>
      <c r="Y184" s="43">
        <v>0.22</v>
      </c>
      <c r="Z184" s="43" t="s">
        <v>136</v>
      </c>
      <c r="AA184" s="43" t="s">
        <v>118</v>
      </c>
      <c r="AF184" s="43">
        <v>0.39</v>
      </c>
      <c r="AG184" s="43" t="s">
        <v>119</v>
      </c>
      <c r="AN184" s="50">
        <v>804.72831999999994</v>
      </c>
      <c r="AP184" s="19"/>
      <c r="AQ184" s="19"/>
      <c r="AR18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0.17666224281533327</v>
      </c>
      <c r="AS18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0.7363151441910587</v>
      </c>
      <c r="AT184"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4.0000000000000008E-2</v>
      </c>
      <c r="AU18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0.6815757209552934</v>
      </c>
      <c r="AV18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0.11726302883821174</v>
      </c>
      <c r="AW184" s="19">
        <f>IFERROR(Table1[[#This Row],[* Practice Efficiency]]*Table1[[#This Row],[* Load Before Treatment (kg/yr)]],"")</f>
        <v>2.071594967387759E-2</v>
      </c>
      <c r="AX184" s="100">
        <v>0</v>
      </c>
      <c r="AY184" s="44" t="s">
        <v>121</v>
      </c>
      <c r="BA184" s="101">
        <v>1</v>
      </c>
      <c r="BB18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2.071594967387759E-2</v>
      </c>
      <c r="BC184" s="44"/>
      <c r="BD184" s="44"/>
      <c r="BJ184" s="43"/>
      <c r="BK184" s="45"/>
      <c r="BL184" s="45"/>
      <c r="BM18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8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8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8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8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84" s="19" t="str">
        <f>IFERROR(Table1[[#This Row],[* Prior Practice Efficiency]]*Table1[[#This Row],[* Prior Load Before Treatment (kg/year)]],"")</f>
        <v/>
      </c>
      <c r="BT184" s="19" t="s">
        <v>510</v>
      </c>
    </row>
    <row r="185" spans="2:72">
      <c r="B185" s="43" t="s">
        <v>632</v>
      </c>
      <c r="C185" s="43" t="s">
        <v>109</v>
      </c>
      <c r="D185" s="43" t="s">
        <v>110</v>
      </c>
      <c r="G185" s="44">
        <v>0.96</v>
      </c>
      <c r="H185" s="44">
        <v>1.32</v>
      </c>
      <c r="I185" s="44">
        <v>6.37</v>
      </c>
      <c r="J185" s="43" t="s">
        <v>633</v>
      </c>
      <c r="K185" s="43" t="s">
        <v>129</v>
      </c>
      <c r="N185" s="48"/>
      <c r="O185" s="43" t="s">
        <v>598</v>
      </c>
      <c r="P185" s="43">
        <v>2027</v>
      </c>
      <c r="U185" s="43" t="s">
        <v>398</v>
      </c>
      <c r="V185" s="43" t="s">
        <v>177</v>
      </c>
      <c r="X185" s="43" t="s">
        <v>124</v>
      </c>
      <c r="Y185" s="43">
        <v>0.35</v>
      </c>
      <c r="Z185" s="43" t="s">
        <v>136</v>
      </c>
      <c r="AA185" s="43" t="s">
        <v>118</v>
      </c>
      <c r="AF185" s="43">
        <v>1.96</v>
      </c>
      <c r="AG185" s="43" t="s">
        <v>119</v>
      </c>
      <c r="AN185" s="50">
        <v>871.27189999999996</v>
      </c>
      <c r="AP185" s="19"/>
      <c r="AQ185" s="19"/>
      <c r="AR18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0.28105356811530291</v>
      </c>
      <c r="AS18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0.41182351557800767</v>
      </c>
      <c r="AT185"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18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5.9117577890038256E-2</v>
      </c>
      <c r="AV18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5.2364703115601534E-2</v>
      </c>
      <c r="AW185" s="19">
        <f>IFERROR(Table1[[#This Row],[* Practice Efficiency]]*Table1[[#This Row],[* Load Before Treatment (kg/yr)]],"")</f>
        <v>1.471728665393833E-2</v>
      </c>
      <c r="AX185" s="100">
        <v>0</v>
      </c>
      <c r="AY185" s="44" t="s">
        <v>121</v>
      </c>
      <c r="BA185" s="101">
        <v>1</v>
      </c>
      <c r="BB18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1.471728665393833E-2</v>
      </c>
      <c r="BC185" s="44"/>
      <c r="BD185" s="44"/>
      <c r="BJ185" s="43"/>
      <c r="BK185" s="45"/>
      <c r="BL185" s="45"/>
      <c r="BM18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8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8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8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8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85" s="19" t="str">
        <f>IFERROR(Table1[[#This Row],[* Prior Practice Efficiency]]*Table1[[#This Row],[* Prior Load Before Treatment (kg/year)]],"")</f>
        <v/>
      </c>
      <c r="BT185" s="19" t="s">
        <v>510</v>
      </c>
    </row>
    <row r="186" spans="2:72">
      <c r="B186" s="43" t="s">
        <v>632</v>
      </c>
      <c r="C186" s="43" t="s">
        <v>109</v>
      </c>
      <c r="D186" s="43" t="s">
        <v>110</v>
      </c>
      <c r="G186" s="44">
        <v>0.96</v>
      </c>
      <c r="H186" s="44">
        <v>1.32</v>
      </c>
      <c r="I186" s="44">
        <v>6.37</v>
      </c>
      <c r="J186" s="43" t="s">
        <v>633</v>
      </c>
      <c r="K186" s="43" t="s">
        <v>129</v>
      </c>
      <c r="N186" s="48"/>
      <c r="O186" s="43" t="s">
        <v>598</v>
      </c>
      <c r="P186" s="43">
        <v>2027</v>
      </c>
      <c r="U186" s="43" t="s">
        <v>398</v>
      </c>
      <c r="V186" s="43" t="s">
        <v>177</v>
      </c>
      <c r="X186" s="43" t="s">
        <v>124</v>
      </c>
      <c r="Y186" s="43">
        <v>1.01</v>
      </c>
      <c r="Z186" s="43" t="s">
        <v>136</v>
      </c>
      <c r="AA186" s="43" t="s">
        <v>118</v>
      </c>
      <c r="AF186" s="43">
        <v>11.84</v>
      </c>
      <c r="AG186" s="43" t="s">
        <v>119</v>
      </c>
      <c r="AN186" s="50">
        <v>1902.7008000000003</v>
      </c>
      <c r="AP186" s="19"/>
      <c r="AQ186" s="19"/>
      <c r="AR18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0.81104029656130272</v>
      </c>
      <c r="AS18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0.26866414413255718</v>
      </c>
      <c r="AT186"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8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0.34332072066278585</v>
      </c>
      <c r="AV18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3.0299621619883577E-2</v>
      </c>
      <c r="AW186" s="19">
        <f>IFERROR(Table1[[#This Row],[* Practice Efficiency]]*Table1[[#This Row],[* Load Before Treatment (kg/yr)]],"")</f>
        <v>2.4574214104285636E-2</v>
      </c>
      <c r="AX186" s="100">
        <v>0</v>
      </c>
      <c r="AY186" s="44" t="s">
        <v>121</v>
      </c>
      <c r="BA186" s="101">
        <v>1</v>
      </c>
      <c r="BB18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2.4574214104285636E-2</v>
      </c>
      <c r="BC186" s="44"/>
      <c r="BD186" s="44"/>
      <c r="BJ186" s="43"/>
      <c r="BK186" s="45"/>
      <c r="BL186" s="45"/>
      <c r="BM18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8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8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8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8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86" s="19" t="str">
        <f>IFERROR(Table1[[#This Row],[* Prior Practice Efficiency]]*Table1[[#This Row],[* Prior Load Before Treatment (kg/year)]],"")</f>
        <v/>
      </c>
      <c r="BT186" s="19" t="s">
        <v>510</v>
      </c>
    </row>
    <row r="187" spans="2:72">
      <c r="B187" s="43" t="s">
        <v>632</v>
      </c>
      <c r="C187" s="43" t="s">
        <v>109</v>
      </c>
      <c r="D187" s="43" t="s">
        <v>110</v>
      </c>
      <c r="G187" s="44">
        <v>0.96</v>
      </c>
      <c r="H187" s="44">
        <v>1.32</v>
      </c>
      <c r="I187" s="44">
        <v>6.37</v>
      </c>
      <c r="J187" s="43" t="s">
        <v>633</v>
      </c>
      <c r="K187" s="43" t="s">
        <v>129</v>
      </c>
      <c r="N187" s="48"/>
      <c r="O187" s="43" t="s">
        <v>598</v>
      </c>
      <c r="P187" s="43">
        <v>2027</v>
      </c>
      <c r="U187" s="43" t="s">
        <v>398</v>
      </c>
      <c r="V187" s="43" t="s">
        <v>177</v>
      </c>
      <c r="X187" s="43" t="s">
        <v>124</v>
      </c>
      <c r="Y187" s="43">
        <v>1.01</v>
      </c>
      <c r="Z187" s="43" t="s">
        <v>136</v>
      </c>
      <c r="AA187" s="43" t="s">
        <v>118</v>
      </c>
      <c r="AF187" s="43">
        <v>3.11</v>
      </c>
      <c r="AG187" s="43" t="s">
        <v>119</v>
      </c>
      <c r="AN187" s="50">
        <v>2146.7785799999997</v>
      </c>
      <c r="AP187" s="19"/>
      <c r="AQ187" s="19"/>
      <c r="AR18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0.81104029656130272</v>
      </c>
      <c r="AS18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0.42520540971395071</v>
      </c>
      <c r="AT187"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18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0.12602704856975347</v>
      </c>
      <c r="AV18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5.5041081942790143E-2</v>
      </c>
      <c r="AW187" s="19">
        <f>IFERROR(Table1[[#This Row],[* Practice Efficiency]]*Table1[[#This Row],[* Load Before Treatment (kg/yr)]],"")</f>
        <v>4.4640535421935482E-2</v>
      </c>
      <c r="AX187" s="100">
        <v>0</v>
      </c>
      <c r="AY187" s="44" t="s">
        <v>121</v>
      </c>
      <c r="BA187" s="101">
        <v>1</v>
      </c>
      <c r="BB18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4.4640535421935482E-2</v>
      </c>
      <c r="BC187" s="44"/>
      <c r="BD187" s="44"/>
      <c r="BJ187" s="43"/>
      <c r="BK187" s="45"/>
      <c r="BL187" s="45"/>
      <c r="BM18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8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8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8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8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87" s="19" t="str">
        <f>IFERROR(Table1[[#This Row],[* Prior Practice Efficiency]]*Table1[[#This Row],[* Prior Load Before Treatment (kg/year)]],"")</f>
        <v/>
      </c>
      <c r="BT187" s="19" t="s">
        <v>510</v>
      </c>
    </row>
    <row r="188" spans="2:72">
      <c r="B188" s="43" t="s">
        <v>632</v>
      </c>
      <c r="C188" s="43" t="s">
        <v>109</v>
      </c>
      <c r="D188" s="43" t="s">
        <v>110</v>
      </c>
      <c r="G188" s="44">
        <v>0.96</v>
      </c>
      <c r="H188" s="44">
        <v>1.32</v>
      </c>
      <c r="I188" s="44">
        <v>6.37</v>
      </c>
      <c r="J188" s="43" t="s">
        <v>633</v>
      </c>
      <c r="K188" s="43" t="s">
        <v>129</v>
      </c>
      <c r="N188" s="48"/>
      <c r="O188" s="43" t="s">
        <v>598</v>
      </c>
      <c r="P188" s="43">
        <v>2027</v>
      </c>
      <c r="U188" s="43" t="s">
        <v>398</v>
      </c>
      <c r="V188" s="43" t="s">
        <v>177</v>
      </c>
      <c r="X188" s="43" t="s">
        <v>141</v>
      </c>
      <c r="Y188" s="43">
        <v>0.04</v>
      </c>
      <c r="Z188" s="43" t="s">
        <v>136</v>
      </c>
      <c r="AA188" s="43" t="s">
        <v>118</v>
      </c>
      <c r="AF188" s="43">
        <v>0</v>
      </c>
      <c r="AG188" s="43" t="s">
        <v>119</v>
      </c>
      <c r="AM188" s="43">
        <v>0.55000000000000004</v>
      </c>
      <c r="AN188" s="50"/>
      <c r="AP188" s="19"/>
      <c r="AQ188" s="19"/>
      <c r="AR18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3.212040778460605E-2</v>
      </c>
      <c r="AS18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18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18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8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88" s="19" t="str">
        <f>IFERROR(Table1[[#This Row],[* Practice Efficiency]]*Table1[[#This Row],[* Load Before Treatment (kg/yr)]],"")</f>
        <v/>
      </c>
      <c r="AX188" s="100">
        <v>1.7666224281533329E-2</v>
      </c>
      <c r="AY188" s="44" t="s">
        <v>121</v>
      </c>
      <c r="BA188" s="101">
        <v>1</v>
      </c>
      <c r="BB18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1.7666224281533329E-2</v>
      </c>
      <c r="BC188" s="44"/>
      <c r="BD188" s="44"/>
      <c r="BJ188" s="43"/>
      <c r="BK188" s="45"/>
      <c r="BL188" s="45"/>
      <c r="BM18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8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8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8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8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88" s="19" t="str">
        <f>IFERROR(Table1[[#This Row],[* Prior Practice Efficiency]]*Table1[[#This Row],[* Prior Load Before Treatment (kg/year)]],"")</f>
        <v/>
      </c>
      <c r="BT188" s="19" t="s">
        <v>510</v>
      </c>
    </row>
    <row r="189" spans="2:72">
      <c r="B189" s="43" t="s">
        <v>632</v>
      </c>
      <c r="C189" s="43" t="s">
        <v>109</v>
      </c>
      <c r="D189" s="43" t="s">
        <v>110</v>
      </c>
      <c r="G189" s="44">
        <v>0.96</v>
      </c>
      <c r="H189" s="44">
        <v>1.32</v>
      </c>
      <c r="I189" s="44">
        <v>6.37</v>
      </c>
      <c r="J189" s="43" t="s">
        <v>633</v>
      </c>
      <c r="K189" s="43" t="s">
        <v>129</v>
      </c>
      <c r="N189" s="48"/>
      <c r="O189" s="43" t="s">
        <v>598</v>
      </c>
      <c r="P189" s="43">
        <v>2027</v>
      </c>
      <c r="U189" s="43" t="s">
        <v>398</v>
      </c>
      <c r="V189" s="43" t="s">
        <v>177</v>
      </c>
      <c r="X189" s="43" t="s">
        <v>141</v>
      </c>
      <c r="Y189" s="43">
        <v>0.08</v>
      </c>
      <c r="Z189" s="43" t="s">
        <v>136</v>
      </c>
      <c r="AA189" s="43" t="s">
        <v>118</v>
      </c>
      <c r="AF189" s="43">
        <v>0</v>
      </c>
      <c r="AG189" s="43" t="s">
        <v>119</v>
      </c>
      <c r="AM189" s="43">
        <v>0.55000000000000004</v>
      </c>
      <c r="AN189" s="50"/>
      <c r="AP189" s="19"/>
      <c r="AQ189" s="19"/>
      <c r="AR18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6.4240815569212101E-2</v>
      </c>
      <c r="AS18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18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18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18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189" s="19" t="str">
        <f>IFERROR(Table1[[#This Row],[* Practice Efficiency]]*Table1[[#This Row],[* Load Before Treatment (kg/yr)]],"")</f>
        <v/>
      </c>
      <c r="AX189" s="100">
        <v>3.5332448563066658E-2</v>
      </c>
      <c r="AY189" s="44" t="s">
        <v>121</v>
      </c>
      <c r="BA189" s="101">
        <v>1</v>
      </c>
      <c r="BB18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3.5332448563066658E-2</v>
      </c>
      <c r="BC189" s="44"/>
      <c r="BD189" s="44"/>
      <c r="BJ189" s="43"/>
      <c r="BK189" s="45"/>
      <c r="BL189" s="45"/>
      <c r="BM18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8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8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8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8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89" s="19" t="str">
        <f>IFERROR(Table1[[#This Row],[* Prior Practice Efficiency]]*Table1[[#This Row],[* Prior Load Before Treatment (kg/year)]],"")</f>
        <v/>
      </c>
      <c r="BT189" s="19" t="s">
        <v>510</v>
      </c>
    </row>
    <row r="190" spans="2:72">
      <c r="B190" s="43" t="s">
        <v>632</v>
      </c>
      <c r="C190" s="43" t="s">
        <v>109</v>
      </c>
      <c r="D190" s="43" t="s">
        <v>110</v>
      </c>
      <c r="G190" s="44">
        <v>1.73</v>
      </c>
      <c r="H190" s="44">
        <v>3.38</v>
      </c>
      <c r="I190" s="44">
        <v>12.52</v>
      </c>
      <c r="J190" s="43" t="s">
        <v>633</v>
      </c>
      <c r="K190" s="43" t="s">
        <v>148</v>
      </c>
      <c r="N190" s="48"/>
      <c r="O190" s="43" t="s">
        <v>598</v>
      </c>
      <c r="P190" s="43">
        <v>2027</v>
      </c>
      <c r="U190" s="43" t="s">
        <v>177</v>
      </c>
      <c r="V190" s="43" t="s">
        <v>177</v>
      </c>
      <c r="X190" s="43" t="s">
        <v>124</v>
      </c>
      <c r="Y190" s="43">
        <v>0.11</v>
      </c>
      <c r="Z190" s="43" t="s">
        <v>136</v>
      </c>
      <c r="AA190" s="43" t="s">
        <v>118</v>
      </c>
      <c r="AF190" s="43">
        <v>1.1599999999999999</v>
      </c>
      <c r="AG190" s="43" t="s">
        <v>119</v>
      </c>
      <c r="AN190" s="50">
        <v>552.79480000000001</v>
      </c>
      <c r="AP190" s="19"/>
      <c r="AQ190" s="19"/>
      <c r="AR19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7.5475988672241645E-2</v>
      </c>
      <c r="AS19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0.53220665491537633</v>
      </c>
      <c r="AT190"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19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0.66103327457688166</v>
      </c>
      <c r="AV19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7.6441330983075262E-2</v>
      </c>
      <c r="AW190" s="19">
        <f>IFERROR(Table1[[#This Row],[* Practice Efficiency]]*Table1[[#This Row],[* Load Before Treatment (kg/yr)]],"")</f>
        <v>5.7694850313696625E-3</v>
      </c>
      <c r="AX190" s="100">
        <v>0</v>
      </c>
      <c r="AY190" s="44" t="s">
        <v>121</v>
      </c>
      <c r="BA190" s="101">
        <v>1</v>
      </c>
      <c r="BB19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5.7694850313696625E-3</v>
      </c>
      <c r="BC190" s="44"/>
      <c r="BD190" s="44"/>
      <c r="BJ190" s="43"/>
      <c r="BK190" s="45"/>
      <c r="BL190" s="45"/>
      <c r="BM19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9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9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9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9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90" s="19" t="str">
        <f>IFERROR(Table1[[#This Row],[* Prior Practice Efficiency]]*Table1[[#This Row],[* Prior Load Before Treatment (kg/year)]],"")</f>
        <v/>
      </c>
      <c r="BT190" s="19" t="s">
        <v>510</v>
      </c>
    </row>
    <row r="191" spans="2:72">
      <c r="B191" s="43" t="s">
        <v>632</v>
      </c>
      <c r="C191" s="43" t="s">
        <v>109</v>
      </c>
      <c r="D191" s="43" t="s">
        <v>110</v>
      </c>
      <c r="G191" s="44">
        <v>1.73</v>
      </c>
      <c r="H191" s="44">
        <v>3.38</v>
      </c>
      <c r="I191" s="44">
        <v>12.52</v>
      </c>
      <c r="J191" s="43" t="s">
        <v>633</v>
      </c>
      <c r="K191" s="43" t="s">
        <v>148</v>
      </c>
      <c r="N191" s="48"/>
      <c r="O191" s="43" t="s">
        <v>598</v>
      </c>
      <c r="P191" s="43">
        <v>2027</v>
      </c>
      <c r="U191" s="43" t="s">
        <v>177</v>
      </c>
      <c r="V191" s="43" t="s">
        <v>177</v>
      </c>
      <c r="X191" s="43" t="s">
        <v>124</v>
      </c>
      <c r="Y191" s="43">
        <v>0.22</v>
      </c>
      <c r="Z191" s="43" t="s">
        <v>136</v>
      </c>
      <c r="AA191" s="43" t="s">
        <v>118</v>
      </c>
      <c r="AF191" s="43">
        <v>0.39</v>
      </c>
      <c r="AG191" s="43" t="s">
        <v>119</v>
      </c>
      <c r="AN191" s="50">
        <v>3116</v>
      </c>
      <c r="AP191" s="19"/>
      <c r="AQ191" s="19"/>
      <c r="AR19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0.15095197734448329</v>
      </c>
      <c r="AS19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1.9777546658804426</v>
      </c>
      <c r="AT191"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7.9999999999999988E-2</v>
      </c>
      <c r="AU19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0.95550933176088515</v>
      </c>
      <c r="AV19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0.28644074654087082</v>
      </c>
      <c r="AW191" s="19">
        <f>IFERROR(Table1[[#This Row],[* Practice Efficiency]]*Table1[[#This Row],[* Load Before Treatment (kg/yr)]],"")</f>
        <v>4.3238797082374415E-2</v>
      </c>
      <c r="AX191" s="100">
        <v>0</v>
      </c>
      <c r="AY191" s="44" t="s">
        <v>121</v>
      </c>
      <c r="BA191" s="101">
        <v>1</v>
      </c>
      <c r="BB19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4.3238797082374415E-2</v>
      </c>
      <c r="BC191" s="44"/>
      <c r="BD191" s="44"/>
      <c r="BJ191" s="43"/>
      <c r="BK191" s="45"/>
      <c r="BL191" s="45"/>
      <c r="BM19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9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9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9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9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91" s="19" t="str">
        <f>IFERROR(Table1[[#This Row],[* Prior Practice Efficiency]]*Table1[[#This Row],[* Prior Load Before Treatment (kg/year)]],"")</f>
        <v/>
      </c>
      <c r="BT191" s="19" t="s">
        <v>510</v>
      </c>
    </row>
    <row r="192" spans="2:72">
      <c r="B192" s="43" t="s">
        <v>632</v>
      </c>
      <c r="C192" s="43" t="s">
        <v>109</v>
      </c>
      <c r="D192" s="43" t="s">
        <v>110</v>
      </c>
      <c r="G192" s="44">
        <v>1.73</v>
      </c>
      <c r="H192" s="44">
        <v>3.38</v>
      </c>
      <c r="I192" s="44">
        <v>12.52</v>
      </c>
      <c r="J192" s="43" t="s">
        <v>633</v>
      </c>
      <c r="K192" s="43" t="s">
        <v>148</v>
      </c>
      <c r="N192" s="48"/>
      <c r="O192" s="43" t="s">
        <v>598</v>
      </c>
      <c r="P192" s="43">
        <v>2027</v>
      </c>
      <c r="U192" s="43" t="s">
        <v>177</v>
      </c>
      <c r="V192" s="43" t="s">
        <v>177</v>
      </c>
      <c r="X192" s="43" t="s">
        <v>124</v>
      </c>
      <c r="Y192" s="43">
        <v>0.11</v>
      </c>
      <c r="Z192" s="43" t="s">
        <v>136</v>
      </c>
      <c r="AA192" s="43" t="s">
        <v>118</v>
      </c>
      <c r="AF192" s="43">
        <v>0.84</v>
      </c>
      <c r="AG192" s="43" t="s">
        <v>119</v>
      </c>
      <c r="AN192" s="50">
        <v>306.51599999999996</v>
      </c>
      <c r="AP192" s="19"/>
      <c r="AQ192" s="19"/>
      <c r="AR19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7.5475988672241645E-2</v>
      </c>
      <c r="AS19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0.40538402811813296</v>
      </c>
      <c r="AT192"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19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2.6920140590664672E-2</v>
      </c>
      <c r="AV19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5.1076805623626591E-2</v>
      </c>
      <c r="AW192" s="19">
        <f>IFERROR(Table1[[#This Row],[* Practice Efficiency]]*Table1[[#This Row],[* Load Before Treatment (kg/yr)]],"")</f>
        <v>3.8550724026631287E-3</v>
      </c>
      <c r="AX192" s="100">
        <v>0</v>
      </c>
      <c r="AY192" s="44" t="s">
        <v>121</v>
      </c>
      <c r="BA192" s="101">
        <v>1</v>
      </c>
      <c r="BB19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3.8550724026631287E-3</v>
      </c>
      <c r="BC192" s="44"/>
      <c r="BD192" s="44"/>
      <c r="BJ192" s="43"/>
      <c r="BK192" s="45"/>
      <c r="BL192" s="45"/>
      <c r="BM19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9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9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9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9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92" s="19" t="str">
        <f>IFERROR(Table1[[#This Row],[* Prior Practice Efficiency]]*Table1[[#This Row],[* Prior Load Before Treatment (kg/year)]],"")</f>
        <v/>
      </c>
      <c r="BT192" s="19" t="s">
        <v>510</v>
      </c>
    </row>
    <row r="193" spans="1:72">
      <c r="B193" s="43" t="s">
        <v>632</v>
      </c>
      <c r="C193" s="43" t="s">
        <v>109</v>
      </c>
      <c r="D193" s="43" t="s">
        <v>110</v>
      </c>
      <c r="G193" s="44">
        <v>1.73</v>
      </c>
      <c r="H193" s="44">
        <v>3.38</v>
      </c>
      <c r="I193" s="44">
        <v>12.52</v>
      </c>
      <c r="J193" s="43" t="s">
        <v>633</v>
      </c>
      <c r="K193" s="43" t="s">
        <v>148</v>
      </c>
      <c r="N193" s="48"/>
      <c r="O193" s="43" t="s">
        <v>598</v>
      </c>
      <c r="P193" s="43">
        <v>2027</v>
      </c>
      <c r="U193" s="43" t="s">
        <v>177</v>
      </c>
      <c r="V193" s="43" t="s">
        <v>177</v>
      </c>
      <c r="X193" s="43" t="s">
        <v>124</v>
      </c>
      <c r="Y193" s="43">
        <v>0.88</v>
      </c>
      <c r="Z193" s="43" t="s">
        <v>136</v>
      </c>
      <c r="AA193" s="43" t="s">
        <v>118</v>
      </c>
      <c r="AF193" s="43">
        <v>14.9</v>
      </c>
      <c r="AG193" s="43" t="s">
        <v>119</v>
      </c>
      <c r="AN193" s="50">
        <v>3584.3200400000001</v>
      </c>
      <c r="AP193" s="19"/>
      <c r="AQ193" s="19"/>
      <c r="AR19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0.60380790937793316</v>
      </c>
      <c r="AS19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0.38729088623927777</v>
      </c>
      <c r="AT193"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9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0.93645443119638871</v>
      </c>
      <c r="AV19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4.8093632935891667E-2</v>
      </c>
      <c r="AW193" s="19">
        <f>IFERROR(Table1[[#This Row],[* Practice Efficiency]]*Table1[[#This Row],[* Load Before Treatment (kg/yr)]],"")</f>
        <v>2.9039315957410456E-2</v>
      </c>
      <c r="AX193" s="100">
        <v>0</v>
      </c>
      <c r="AY193" s="44" t="s">
        <v>121</v>
      </c>
      <c r="BA193" s="101">
        <v>1</v>
      </c>
      <c r="BB19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2.9039315957410456E-2</v>
      </c>
      <c r="BC193" s="44"/>
      <c r="BD193" s="44"/>
      <c r="BJ193" s="43"/>
      <c r="BK193" s="45"/>
      <c r="BL193" s="45"/>
      <c r="BM19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9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9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9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9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93" s="19" t="str">
        <f>IFERROR(Table1[[#This Row],[* Prior Practice Efficiency]]*Table1[[#This Row],[* Prior Load Before Treatment (kg/year)]],"")</f>
        <v/>
      </c>
      <c r="BT193" s="19" t="s">
        <v>510</v>
      </c>
    </row>
    <row r="194" spans="1:72">
      <c r="B194" s="43" t="s">
        <v>632</v>
      </c>
      <c r="C194" s="43" t="s">
        <v>109</v>
      </c>
      <c r="D194" s="43" t="s">
        <v>110</v>
      </c>
      <c r="G194" s="44">
        <v>1.73</v>
      </c>
      <c r="H194" s="44">
        <v>3.38</v>
      </c>
      <c r="I194" s="44">
        <v>12.52</v>
      </c>
      <c r="J194" s="43" t="s">
        <v>633</v>
      </c>
      <c r="K194" s="43" t="s">
        <v>148</v>
      </c>
      <c r="N194" s="48"/>
      <c r="O194" s="43" t="s">
        <v>598</v>
      </c>
      <c r="P194" s="43">
        <v>2027</v>
      </c>
      <c r="U194" s="43" t="s">
        <v>177</v>
      </c>
      <c r="V194" s="43" t="s">
        <v>177</v>
      </c>
      <c r="X194" s="43" t="s">
        <v>124</v>
      </c>
      <c r="Y194" s="43">
        <v>0.21</v>
      </c>
      <c r="Z194" s="43" t="s">
        <v>136</v>
      </c>
      <c r="AA194" s="43" t="s">
        <v>118</v>
      </c>
      <c r="AF194" s="43">
        <v>0.37</v>
      </c>
      <c r="AG194" s="43" t="s">
        <v>119</v>
      </c>
      <c r="AN194" s="50">
        <v>1007.1239999999999</v>
      </c>
      <c r="AP194" s="19"/>
      <c r="AQ194" s="19"/>
      <c r="AR19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0.14409052382882495</v>
      </c>
      <c r="AS19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0.91072733055239774</v>
      </c>
      <c r="AT194"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4.0000000000000008E-2</v>
      </c>
      <c r="AU19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0.55363665276198859</v>
      </c>
      <c r="AV19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0.15214546611047955</v>
      </c>
      <c r="AW194" s="19">
        <f>IFERROR(Table1[[#This Row],[* Practice Efficiency]]*Table1[[#This Row],[* Load Before Treatment (kg/yr)]],"")</f>
        <v>2.1922719910039731E-2</v>
      </c>
      <c r="AX194" s="100">
        <v>0</v>
      </c>
      <c r="AY194" s="44" t="s">
        <v>121</v>
      </c>
      <c r="BA194" s="101">
        <v>1</v>
      </c>
      <c r="BB19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2.1922719910039731E-2</v>
      </c>
      <c r="BC194" s="44"/>
      <c r="BD194" s="44"/>
      <c r="BJ194" s="43"/>
      <c r="BK194" s="45"/>
      <c r="BL194" s="45"/>
      <c r="BM19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9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9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9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9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94" s="19" t="str">
        <f>IFERROR(Table1[[#This Row],[* Prior Practice Efficiency]]*Table1[[#This Row],[* Prior Load Before Treatment (kg/year)]],"")</f>
        <v/>
      </c>
      <c r="BT194" s="19" t="s">
        <v>510</v>
      </c>
    </row>
    <row r="195" spans="1:72">
      <c r="B195" s="43" t="s">
        <v>632</v>
      </c>
      <c r="C195" s="43" t="s">
        <v>109</v>
      </c>
      <c r="D195" s="43" t="s">
        <v>110</v>
      </c>
      <c r="G195" s="44">
        <v>1.73</v>
      </c>
      <c r="H195" s="44">
        <v>3.38</v>
      </c>
      <c r="I195" s="44">
        <v>12.52</v>
      </c>
      <c r="J195" s="43" t="s">
        <v>633</v>
      </c>
      <c r="K195" s="43" t="s">
        <v>148</v>
      </c>
      <c r="N195" s="48"/>
      <c r="O195" s="43" t="s">
        <v>598</v>
      </c>
      <c r="P195" s="43">
        <v>2027</v>
      </c>
      <c r="U195" s="43" t="s">
        <v>177</v>
      </c>
      <c r="V195" s="43" t="s">
        <v>177</v>
      </c>
      <c r="X195" s="43" t="s">
        <v>124</v>
      </c>
      <c r="Y195" s="43">
        <v>0.19</v>
      </c>
      <c r="Z195" s="43" t="s">
        <v>136</v>
      </c>
      <c r="AA195" s="43" t="s">
        <v>118</v>
      </c>
      <c r="AF195" s="43">
        <v>17.54</v>
      </c>
      <c r="AG195" s="43" t="s">
        <v>119</v>
      </c>
      <c r="AN195" s="50">
        <v>1913.0140799999999</v>
      </c>
      <c r="AP195" s="19"/>
      <c r="AQ195" s="19"/>
      <c r="AR19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0.1303676167975083</v>
      </c>
      <c r="AS19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0.3020453720601789</v>
      </c>
      <c r="AT195"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9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0.51022686030089437</v>
      </c>
      <c r="AV19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3.5306805809026835E-2</v>
      </c>
      <c r="AW195" s="19">
        <f>IFERROR(Table1[[#This Row],[* Practice Efficiency]]*Table1[[#This Row],[* Load Before Treatment (kg/yr)]],"")</f>
        <v>4.6028641300552503E-3</v>
      </c>
      <c r="AX195" s="100">
        <v>0</v>
      </c>
      <c r="AY195" s="44" t="s">
        <v>121</v>
      </c>
      <c r="BA195" s="101">
        <v>1</v>
      </c>
      <c r="BB19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4.6028641300552503E-3</v>
      </c>
      <c r="BC195" s="44"/>
      <c r="BD195" s="44"/>
      <c r="BJ195" s="43"/>
      <c r="BK195" s="45"/>
      <c r="BL195" s="45"/>
      <c r="BM19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9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9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9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9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95" s="19" t="str">
        <f>IFERROR(Table1[[#This Row],[* Prior Practice Efficiency]]*Table1[[#This Row],[* Prior Load Before Treatment (kg/year)]],"")</f>
        <v/>
      </c>
      <c r="BT195" s="19" t="s">
        <v>510</v>
      </c>
    </row>
    <row r="196" spans="1:72">
      <c r="B196" s="43" t="s">
        <v>632</v>
      </c>
      <c r="C196" s="43" t="s">
        <v>109</v>
      </c>
      <c r="D196" s="43" t="s">
        <v>110</v>
      </c>
      <c r="G196" s="44">
        <v>1.73</v>
      </c>
      <c r="H196" s="44">
        <v>3.38</v>
      </c>
      <c r="I196" s="44">
        <v>12.52</v>
      </c>
      <c r="J196" s="43" t="s">
        <v>633</v>
      </c>
      <c r="K196" s="43" t="s">
        <v>148</v>
      </c>
      <c r="N196" s="48"/>
      <c r="O196" s="43" t="s">
        <v>598</v>
      </c>
      <c r="P196" s="43">
        <v>2027</v>
      </c>
      <c r="U196" s="43" t="s">
        <v>177</v>
      </c>
      <c r="V196" s="43" t="s">
        <v>177</v>
      </c>
      <c r="X196" s="43" t="s">
        <v>124</v>
      </c>
      <c r="Y196" s="43">
        <v>0.06</v>
      </c>
      <c r="Z196" s="43" t="s">
        <v>136</v>
      </c>
      <c r="AA196" s="43" t="s">
        <v>118</v>
      </c>
      <c r="AF196" s="43">
        <v>4.6500000000000004</v>
      </c>
      <c r="AG196" s="43" t="s">
        <v>119</v>
      </c>
      <c r="AN196" s="50">
        <v>1415.2544000000003</v>
      </c>
      <c r="AP196" s="19"/>
      <c r="AQ196" s="19"/>
      <c r="AR19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4.1168721093949985E-2</v>
      </c>
      <c r="AS19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0.5197338217636458</v>
      </c>
      <c r="AT196"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19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0.59866910881822899</v>
      </c>
      <c r="AV19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7.3946764352729163E-2</v>
      </c>
      <c r="AW196" s="19">
        <f>IFERROR(Table1[[#This Row],[* Practice Efficiency]]*Table1[[#This Row],[* Load Before Treatment (kg/yr)]],"")</f>
        <v>3.0442937174375499E-3</v>
      </c>
      <c r="AX196" s="100">
        <v>0</v>
      </c>
      <c r="AY196" s="44" t="s">
        <v>121</v>
      </c>
      <c r="BA196" s="101">
        <v>1</v>
      </c>
      <c r="BB19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3.0442937174375499E-3</v>
      </c>
      <c r="BC196" s="44"/>
      <c r="BD196" s="44"/>
      <c r="BJ196" s="43"/>
      <c r="BK196" s="45"/>
      <c r="BL196" s="45"/>
      <c r="BM19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9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9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9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9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96" s="19" t="str">
        <f>IFERROR(Table1[[#This Row],[* Prior Practice Efficiency]]*Table1[[#This Row],[* Prior Load Before Treatment (kg/year)]],"")</f>
        <v/>
      </c>
      <c r="BT196" s="19" t="s">
        <v>510</v>
      </c>
    </row>
    <row r="197" spans="1:72">
      <c r="B197" s="43" t="s">
        <v>632</v>
      </c>
      <c r="C197" s="43" t="s">
        <v>109</v>
      </c>
      <c r="D197" s="43" t="s">
        <v>110</v>
      </c>
      <c r="G197" s="44">
        <v>1.73</v>
      </c>
      <c r="H197" s="44">
        <v>3.38</v>
      </c>
      <c r="I197" s="44">
        <v>12.52</v>
      </c>
      <c r="J197" s="43" t="s">
        <v>633</v>
      </c>
      <c r="K197" s="43" t="s">
        <v>148</v>
      </c>
      <c r="N197" s="48"/>
      <c r="O197" s="43" t="s">
        <v>598</v>
      </c>
      <c r="P197" s="43">
        <v>2027</v>
      </c>
      <c r="U197" s="43" t="s">
        <v>177</v>
      </c>
      <c r="V197" s="43" t="s">
        <v>177</v>
      </c>
      <c r="X197" s="43" t="s">
        <v>124</v>
      </c>
      <c r="Y197" s="43">
        <v>0.23</v>
      </c>
      <c r="Z197" s="43" t="s">
        <v>136</v>
      </c>
      <c r="AA197" s="43" t="s">
        <v>118</v>
      </c>
      <c r="AF197" s="43">
        <v>2.37</v>
      </c>
      <c r="AG197" s="43" t="s">
        <v>119</v>
      </c>
      <c r="AN197" s="50">
        <v>1007.1239999999999</v>
      </c>
      <c r="AP197" s="19"/>
      <c r="AQ197" s="19"/>
      <c r="AR19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0.15781343086014163</v>
      </c>
      <c r="AS19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0.49211591383566083</v>
      </c>
      <c r="AT197"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19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0.46057956917830417</v>
      </c>
      <c r="AV19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6.8423182767132162E-2</v>
      </c>
      <c r="AW197" s="19">
        <f>IFERROR(Table1[[#This Row],[* Practice Efficiency]]*Table1[[#This Row],[* Load Before Treatment (kg/yr)]],"")</f>
        <v>1.0798097222851646E-2</v>
      </c>
      <c r="AX197" s="100">
        <v>0</v>
      </c>
      <c r="AY197" s="44" t="s">
        <v>121</v>
      </c>
      <c r="BA197" s="101">
        <v>1</v>
      </c>
      <c r="BB19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1.0798097222851646E-2</v>
      </c>
      <c r="BC197" s="44"/>
      <c r="BD197" s="44"/>
      <c r="BJ197" s="43"/>
      <c r="BK197" s="45"/>
      <c r="BL197" s="45"/>
      <c r="BM19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9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9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9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9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97" s="19" t="str">
        <f>IFERROR(Table1[[#This Row],[* Prior Practice Efficiency]]*Table1[[#This Row],[* Prior Load Before Treatment (kg/year)]],"")</f>
        <v/>
      </c>
      <c r="BT197" s="19" t="s">
        <v>510</v>
      </c>
    </row>
    <row r="198" spans="1:72">
      <c r="B198" s="43" t="s">
        <v>632</v>
      </c>
      <c r="C198" s="43" t="s">
        <v>109</v>
      </c>
      <c r="D198" s="43" t="s">
        <v>110</v>
      </c>
      <c r="G198" s="44">
        <v>1.73</v>
      </c>
      <c r="H198" s="44">
        <v>3.38</v>
      </c>
      <c r="I198" s="44">
        <v>12.52</v>
      </c>
      <c r="J198" s="43" t="s">
        <v>633</v>
      </c>
      <c r="K198" s="43" t="s">
        <v>148</v>
      </c>
      <c r="N198" s="48"/>
      <c r="O198" s="43" t="s">
        <v>598</v>
      </c>
      <c r="P198" s="43">
        <v>2027</v>
      </c>
      <c r="U198" s="43" t="s">
        <v>177</v>
      </c>
      <c r="V198" s="43" t="s">
        <v>177</v>
      </c>
      <c r="X198" s="43" t="s">
        <v>124</v>
      </c>
      <c r="Y198" s="43">
        <v>1.66</v>
      </c>
      <c r="Z198" s="43" t="s">
        <v>136</v>
      </c>
      <c r="AA198" s="43" t="s">
        <v>118</v>
      </c>
      <c r="AF198" s="43">
        <v>22.99</v>
      </c>
      <c r="AG198" s="43" t="s">
        <v>119</v>
      </c>
      <c r="AN198" s="50">
        <v>4335.5430999999999</v>
      </c>
      <c r="AP198" s="19"/>
      <c r="AQ198" s="19"/>
      <c r="AR19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1.1390012835992829</v>
      </c>
      <c r="AS19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0.31565365643391546</v>
      </c>
      <c r="AT198"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19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0.57826828216957726</v>
      </c>
      <c r="AV19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3.7348048465087325E-2</v>
      </c>
      <c r="AW198" s="19">
        <f>IFERROR(Table1[[#This Row],[* Practice Efficiency]]*Table1[[#This Row],[* Load Before Treatment (kg/yr)]],"")</f>
        <v>4.2539475141662689E-2</v>
      </c>
      <c r="AX198" s="100">
        <v>0</v>
      </c>
      <c r="AY198" s="44" t="s">
        <v>121</v>
      </c>
      <c r="BA198" s="101">
        <v>1</v>
      </c>
      <c r="BB19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4.2539475141662689E-2</v>
      </c>
      <c r="BC198" s="44"/>
      <c r="BD198" s="44"/>
      <c r="BJ198" s="43"/>
      <c r="BK198" s="45"/>
      <c r="BL198" s="45"/>
      <c r="BM19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9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9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9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9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98" s="19" t="str">
        <f>IFERROR(Table1[[#This Row],[* Prior Practice Efficiency]]*Table1[[#This Row],[* Prior Load Before Treatment (kg/year)]],"")</f>
        <v/>
      </c>
      <c r="BT198" s="19" t="s">
        <v>510</v>
      </c>
    </row>
    <row r="199" spans="1:72">
      <c r="B199" s="43" t="s">
        <v>632</v>
      </c>
      <c r="C199" s="43" t="s">
        <v>109</v>
      </c>
      <c r="D199" s="43" t="s">
        <v>110</v>
      </c>
      <c r="G199" s="44">
        <v>1.73</v>
      </c>
      <c r="H199" s="44">
        <v>3.38</v>
      </c>
      <c r="I199" s="44">
        <v>25.65</v>
      </c>
      <c r="J199" s="43" t="s">
        <v>633</v>
      </c>
      <c r="K199" s="43" t="s">
        <v>148</v>
      </c>
      <c r="N199" s="48"/>
      <c r="O199" s="43" t="s">
        <v>598</v>
      </c>
      <c r="P199" s="43">
        <v>2027</v>
      </c>
      <c r="U199" s="43" t="s">
        <v>177</v>
      </c>
      <c r="V199" s="43" t="s">
        <v>177</v>
      </c>
      <c r="X199" s="43" t="s">
        <v>581</v>
      </c>
      <c r="Y199" s="43">
        <v>0.3</v>
      </c>
      <c r="Z199" s="43" t="s">
        <v>136</v>
      </c>
      <c r="AA199" s="43" t="s">
        <v>118</v>
      </c>
      <c r="AF199" s="43">
        <v>25.35</v>
      </c>
      <c r="AG199" s="43" t="s">
        <v>119</v>
      </c>
      <c r="AN199" s="50">
        <v>16435</v>
      </c>
      <c r="AP199" s="19"/>
      <c r="AQ199" s="19"/>
      <c r="AR19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0.20584360546974992</v>
      </c>
      <c r="AS19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0.775182269901462</v>
      </c>
      <c r="AT199"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9.999999999999995E-3</v>
      </c>
      <c r="AU19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0.87591134950730976</v>
      </c>
      <c r="AV19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8.8759113495073094E-2</v>
      </c>
      <c r="AW199" s="19">
        <f>IFERROR(Table1[[#This Row],[* Practice Efficiency]]*Table1[[#This Row],[* Load Before Treatment (kg/yr)]],"")</f>
        <v>1.827049594012458E-2</v>
      </c>
      <c r="AX199" s="100">
        <v>0</v>
      </c>
      <c r="AY199" s="44" t="s">
        <v>121</v>
      </c>
      <c r="BA199" s="101">
        <v>1</v>
      </c>
      <c r="BB19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1.827049594012458E-2</v>
      </c>
      <c r="BC199" s="44"/>
      <c r="BD199" s="44"/>
      <c r="BJ199" s="43"/>
      <c r="BK199" s="45"/>
      <c r="BL199" s="45"/>
      <c r="BM19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19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19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19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19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199" s="19" t="str">
        <f>IFERROR(Table1[[#This Row],[* Prior Practice Efficiency]]*Table1[[#This Row],[* Prior Load Before Treatment (kg/year)]],"")</f>
        <v/>
      </c>
      <c r="BT199" s="19" t="s">
        <v>510</v>
      </c>
    </row>
    <row r="200" spans="1:72">
      <c r="A200" s="43" t="s">
        <v>219</v>
      </c>
      <c r="B200" s="43" t="s">
        <v>220</v>
      </c>
      <c r="C200" s="43" t="s">
        <v>109</v>
      </c>
      <c r="D200" s="43" t="s">
        <v>110</v>
      </c>
      <c r="G200" s="44">
        <v>0.01</v>
      </c>
      <c r="H200" s="44">
        <v>0.85</v>
      </c>
      <c r="I200" s="44">
        <v>0.51</v>
      </c>
      <c r="J200" s="43" t="s">
        <v>221</v>
      </c>
      <c r="K200" s="67" t="s">
        <v>112</v>
      </c>
      <c r="N200" s="48"/>
      <c r="O200" s="43" t="s">
        <v>113</v>
      </c>
      <c r="Q200" s="43">
        <v>2012</v>
      </c>
      <c r="U200" s="43" t="s">
        <v>177</v>
      </c>
      <c r="V200" s="43" t="str">
        <f>IFERROR(VLOOKUP(Table1[[#This Row],[LC TMDL Drainage Area]],Dropdowns!$P$3:$Q$23,2,FALSE),"")</f>
        <v>Otter Creek</v>
      </c>
      <c r="W200" s="43" t="s">
        <v>115</v>
      </c>
      <c r="X200" s="43" t="s">
        <v>124</v>
      </c>
      <c r="Y200" s="43">
        <v>0.25</v>
      </c>
      <c r="Z200" s="43" t="s">
        <v>146</v>
      </c>
      <c r="AA200" s="43" t="s">
        <v>118</v>
      </c>
      <c r="AB200" s="93"/>
      <c r="AC200" s="93"/>
      <c r="AD200" s="93"/>
      <c r="AE200" s="93"/>
      <c r="AF200" s="43">
        <v>0.26</v>
      </c>
      <c r="AG200" s="43" t="s">
        <v>119</v>
      </c>
      <c r="AH200">
        <v>5.6</v>
      </c>
      <c r="AI200">
        <v>0.26</v>
      </c>
      <c r="AJ200">
        <v>1.5</v>
      </c>
      <c r="AK200">
        <v>410</v>
      </c>
      <c r="AL200">
        <v>203</v>
      </c>
      <c r="AM200"/>
      <c r="AN200" s="50">
        <v>638.53399999999999</v>
      </c>
      <c r="AP200" s="79" t="s">
        <v>196</v>
      </c>
      <c r="AQ200" s="79" t="s">
        <v>196</v>
      </c>
      <c r="AR20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0.26467293084021815</v>
      </c>
      <c r="AS20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0.59796126685983531</v>
      </c>
      <c r="AT20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20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0.98980633429917664</v>
      </c>
      <c r="AV20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8.9592253371967079E-2</v>
      </c>
      <c r="AW200" s="19">
        <f>IFERROR(Table1[[#This Row],[* Practice Efficiency]]*Table1[[#This Row],[* Load Before Treatment (kg/yr)]],"")</f>
        <v>2.3712644280537945E-2</v>
      </c>
      <c r="AX200" s="100">
        <f>Table1[[#This Row],[Manually entered practice effiency ]]*Table1[[#This Row],[* Load Before Treatment (kg/yr)]]</f>
        <v>0</v>
      </c>
      <c r="AY200" s="43" t="s">
        <v>121</v>
      </c>
      <c r="BA200" s="101">
        <v>1</v>
      </c>
      <c r="BB20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2.3712644280537945E-2</v>
      </c>
      <c r="BC200" s="44"/>
      <c r="BD200" s="44"/>
      <c r="BJ200" s="43"/>
      <c r="BK200" s="45"/>
      <c r="BL200" s="45"/>
      <c r="BM20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0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0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0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0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00" s="19" t="str">
        <f>IFERROR(Table1[[#This Row],[* Prior Practice Efficiency]]*Table1[[#This Row],[* Prior Load Before Treatment (kg/year)]],"")</f>
        <v/>
      </c>
      <c r="BT200" s="19" t="s">
        <v>222</v>
      </c>
    </row>
    <row r="201" spans="1:72">
      <c r="A201" s="43" t="s">
        <v>223</v>
      </c>
      <c r="B201" s="43" t="s">
        <v>220</v>
      </c>
      <c r="C201" s="43" t="s">
        <v>109</v>
      </c>
      <c r="D201" s="43" t="s">
        <v>110</v>
      </c>
      <c r="G201" s="44">
        <v>0.01</v>
      </c>
      <c r="H201" s="44">
        <v>0.85</v>
      </c>
      <c r="I201" s="44">
        <v>0.6</v>
      </c>
      <c r="J201" s="43" t="s">
        <v>221</v>
      </c>
      <c r="K201" s="67" t="s">
        <v>112</v>
      </c>
      <c r="N201" s="48"/>
      <c r="O201" s="43" t="s">
        <v>113</v>
      </c>
      <c r="Q201" s="43">
        <v>2012</v>
      </c>
      <c r="U201" s="43" t="s">
        <v>177</v>
      </c>
      <c r="V201" s="43" t="str">
        <f>IFERROR(VLOOKUP(Table1[[#This Row],[LC TMDL Drainage Area]],Dropdowns!$P$3:$Q$23,2,FALSE),"")</f>
        <v>Otter Creek</v>
      </c>
      <c r="W201" s="43" t="s">
        <v>115</v>
      </c>
      <c r="X201" s="43" t="s">
        <v>124</v>
      </c>
      <c r="Y201" s="43">
        <v>0.26</v>
      </c>
      <c r="Z201" s="43" t="s">
        <v>146</v>
      </c>
      <c r="AA201" s="43" t="s">
        <v>118</v>
      </c>
      <c r="AB201" s="93"/>
      <c r="AC201" s="93"/>
      <c r="AD201" s="93"/>
      <c r="AE201" s="93"/>
      <c r="AF201" s="43">
        <v>0.34</v>
      </c>
      <c r="AG201" s="43" t="s">
        <v>119</v>
      </c>
      <c r="AH201">
        <v>4.7</v>
      </c>
      <c r="AI201">
        <v>0.45</v>
      </c>
      <c r="AJ201">
        <v>4</v>
      </c>
      <c r="AK201">
        <v>315</v>
      </c>
      <c r="AL201">
        <v>202</v>
      </c>
      <c r="AM201"/>
      <c r="AN201" s="50">
        <v>921.37500000000011</v>
      </c>
      <c r="AP201" s="79" t="s">
        <v>196</v>
      </c>
      <c r="AQ201" s="79" t="s">
        <v>196</v>
      </c>
      <c r="AR20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0.27525984807382686</v>
      </c>
      <c r="AS20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0.76203540485101495</v>
      </c>
      <c r="AT20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20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0.81017702425507465</v>
      </c>
      <c r="AV20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0.12240708097020299</v>
      </c>
      <c r="AW201" s="19">
        <f>IFERROR(Table1[[#This Row],[* Practice Efficiency]]*Table1[[#This Row],[* Load Before Treatment (kg/yr)]],"")</f>
        <v>3.3693754511018699E-2</v>
      </c>
      <c r="AX201" s="100">
        <f>Table1[[#This Row],[Manually entered practice effiency ]]*Table1[[#This Row],[* Load Before Treatment (kg/yr)]]</f>
        <v>0</v>
      </c>
      <c r="AY201" s="43" t="s">
        <v>121</v>
      </c>
      <c r="BA201" s="101">
        <v>1</v>
      </c>
      <c r="BB20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3.3693754511018699E-2</v>
      </c>
      <c r="BC201" s="44"/>
      <c r="BD201" s="44"/>
      <c r="BJ201" s="43"/>
      <c r="BK201" s="45"/>
      <c r="BL201" s="45"/>
      <c r="BM20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0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0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0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0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01" s="19" t="str">
        <f>IFERROR(Table1[[#This Row],[* Prior Practice Efficiency]]*Table1[[#This Row],[* Prior Load Before Treatment (kg/year)]],"")</f>
        <v/>
      </c>
      <c r="BT201" s="19" t="s">
        <v>224</v>
      </c>
    </row>
    <row r="202" spans="1:72">
      <c r="A202" s="43" t="s">
        <v>225</v>
      </c>
      <c r="B202" s="43" t="s">
        <v>220</v>
      </c>
      <c r="C202" s="43" t="s">
        <v>109</v>
      </c>
      <c r="D202" s="43" t="s">
        <v>110</v>
      </c>
      <c r="G202" s="44">
        <v>0.03</v>
      </c>
      <c r="H202" s="44">
        <v>0.71</v>
      </c>
      <c r="I202" s="44">
        <v>0.48</v>
      </c>
      <c r="J202" s="43" t="s">
        <v>221</v>
      </c>
      <c r="K202" s="67" t="s">
        <v>129</v>
      </c>
      <c r="N202" s="48"/>
      <c r="O202" s="43" t="s">
        <v>113</v>
      </c>
      <c r="Q202" s="43">
        <v>2012</v>
      </c>
      <c r="U202" s="43" t="s">
        <v>177</v>
      </c>
      <c r="V202" s="43" t="str">
        <f>IFERROR(VLOOKUP(Table1[[#This Row],[LC TMDL Drainage Area]],Dropdowns!$P$3:$Q$23,2,FALSE),"")</f>
        <v>Otter Creek</v>
      </c>
      <c r="W202" s="43" t="s">
        <v>115</v>
      </c>
      <c r="X202" s="43" t="s">
        <v>124</v>
      </c>
      <c r="Y202" s="43">
        <v>0.22</v>
      </c>
      <c r="Z202" s="43" t="s">
        <v>146</v>
      </c>
      <c r="AA202" s="43" t="s">
        <v>118</v>
      </c>
      <c r="AB202" s="93"/>
      <c r="AC202" s="93"/>
      <c r="AD202" s="93"/>
      <c r="AE202" s="93"/>
      <c r="AF202" s="43">
        <v>0.26</v>
      </c>
      <c r="AG202" s="43" t="s">
        <v>119</v>
      </c>
      <c r="AH202">
        <v>4.7</v>
      </c>
      <c r="AI202">
        <v>0.39</v>
      </c>
      <c r="AJ202">
        <v>4</v>
      </c>
      <c r="AK202">
        <v>197</v>
      </c>
      <c r="AL202">
        <v>152</v>
      </c>
      <c r="AM202"/>
      <c r="AN202" s="50">
        <v>480.95579999999995</v>
      </c>
      <c r="AP202" s="79" t="s">
        <v>196</v>
      </c>
      <c r="AQ202" s="79" t="s">
        <v>196</v>
      </c>
      <c r="AR20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0.23291217913939197</v>
      </c>
      <c r="AS20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0.51328915823967947</v>
      </c>
      <c r="AT20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20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0.56644579119839733</v>
      </c>
      <c r="AV20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7.2657831647935905E-2</v>
      </c>
      <c r="AW202" s="19">
        <f>IFERROR(Table1[[#This Row],[* Practice Efficiency]]*Table1[[#This Row],[* Load Before Treatment (kg/yr)]],"")</f>
        <v>1.692289390066383E-2</v>
      </c>
      <c r="AX202" s="100">
        <f>Table1[[#This Row],[Manually entered practice effiency ]]*Table1[[#This Row],[* Load Before Treatment (kg/yr)]]</f>
        <v>0</v>
      </c>
      <c r="AY202" s="43" t="s">
        <v>121</v>
      </c>
      <c r="BA202" s="101">
        <v>1</v>
      </c>
      <c r="BB20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1.692289390066383E-2</v>
      </c>
      <c r="BC202" s="44"/>
      <c r="BD202" s="44"/>
      <c r="BJ202" s="43"/>
      <c r="BK202" s="45"/>
      <c r="BL202" s="45"/>
      <c r="BM20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0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0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0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0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02" s="19" t="str">
        <f>IFERROR(Table1[[#This Row],[* Prior Practice Efficiency]]*Table1[[#This Row],[* Prior Load Before Treatment (kg/year)]],"")</f>
        <v/>
      </c>
      <c r="BT202" s="19" t="s">
        <v>226</v>
      </c>
    </row>
    <row r="203" spans="1:72">
      <c r="A203" s="43" t="s">
        <v>227</v>
      </c>
      <c r="B203" s="43" t="s">
        <v>220</v>
      </c>
      <c r="C203" s="43" t="s">
        <v>109</v>
      </c>
      <c r="D203" s="43" t="s">
        <v>110</v>
      </c>
      <c r="G203" s="44">
        <v>0.1</v>
      </c>
      <c r="H203" s="44">
        <v>0.73</v>
      </c>
      <c r="I203" s="44">
        <v>0.28000000000000003</v>
      </c>
      <c r="J203" s="43" t="s">
        <v>221</v>
      </c>
      <c r="K203" s="67" t="s">
        <v>148</v>
      </c>
      <c r="N203" s="48"/>
      <c r="O203" s="43" t="s">
        <v>113</v>
      </c>
      <c r="Q203" s="43">
        <v>2012</v>
      </c>
      <c r="U203" s="43" t="s">
        <v>177</v>
      </c>
      <c r="V203" s="43" t="str">
        <f>IFERROR(VLOOKUP(Table1[[#This Row],[LC TMDL Drainage Area]],Dropdowns!$P$3:$Q$23,2,FALSE),"")</f>
        <v>Otter Creek</v>
      </c>
      <c r="W203" s="43" t="s">
        <v>115</v>
      </c>
      <c r="X203" s="43" t="s">
        <v>124</v>
      </c>
      <c r="Y203" s="43">
        <v>0.2</v>
      </c>
      <c r="Z203" s="43" t="s">
        <v>136</v>
      </c>
      <c r="AA203" s="43" t="s">
        <v>118</v>
      </c>
      <c r="AB203" s="93"/>
      <c r="AC203" s="93"/>
      <c r="AD203" s="93"/>
      <c r="AE203" s="93"/>
      <c r="AF203" s="43">
        <v>0.08</v>
      </c>
      <c r="AG203" s="43" t="s">
        <v>119</v>
      </c>
      <c r="AH203">
        <v>4.7</v>
      </c>
      <c r="AI203">
        <v>0.26</v>
      </c>
      <c r="AJ203">
        <v>4</v>
      </c>
      <c r="AK203">
        <v>230</v>
      </c>
      <c r="AL203">
        <v>225</v>
      </c>
      <c r="AM203"/>
      <c r="AN203" s="50">
        <v>343.25200000000007</v>
      </c>
      <c r="AP203" s="79" t="s">
        <v>196</v>
      </c>
      <c r="AQ203" s="79" t="s">
        <v>196</v>
      </c>
      <c r="AR20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0.13722907031316664</v>
      </c>
      <c r="AS20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0.44957342061656674</v>
      </c>
      <c r="AT20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20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0.24786710308283366</v>
      </c>
      <c r="AV20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5.9914684123313355E-2</v>
      </c>
      <c r="AW203" s="19">
        <f>IFERROR(Table1[[#This Row],[* Practice Efficiency]]*Table1[[#This Row],[* Load Before Treatment (kg/yr)]],"")</f>
        <v>8.2220364003493373E-3</v>
      </c>
      <c r="AX203" s="100">
        <f>Table1[[#This Row],[Manually entered practice effiency ]]*Table1[[#This Row],[* Load Before Treatment (kg/yr)]]</f>
        <v>0</v>
      </c>
      <c r="AY203" s="43" t="s">
        <v>121</v>
      </c>
      <c r="BA203" s="101">
        <v>1</v>
      </c>
      <c r="BB20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8.2220364003493373E-3</v>
      </c>
      <c r="BC203" s="44"/>
      <c r="BD203" s="44"/>
      <c r="BJ203" s="43"/>
      <c r="BK203" s="45"/>
      <c r="BL203" s="45"/>
      <c r="BM20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0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0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0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0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03" s="19" t="str">
        <f>IFERROR(Table1[[#This Row],[* Prior Practice Efficiency]]*Table1[[#This Row],[* Prior Load Before Treatment (kg/year)]],"")</f>
        <v/>
      </c>
      <c r="BT203" s="19" t="s">
        <v>228</v>
      </c>
    </row>
    <row r="204" spans="1:72">
      <c r="A204" s="43" t="s">
        <v>229</v>
      </c>
      <c r="B204" s="43" t="s">
        <v>220</v>
      </c>
      <c r="C204" s="43" t="s">
        <v>109</v>
      </c>
      <c r="D204" s="43" t="s">
        <v>110</v>
      </c>
      <c r="G204" s="44">
        <v>0.1</v>
      </c>
      <c r="H204" s="44">
        <v>0.73</v>
      </c>
      <c r="I204" s="44">
        <v>0.19</v>
      </c>
      <c r="J204" s="43" t="s">
        <v>221</v>
      </c>
      <c r="K204" s="67" t="s">
        <v>148</v>
      </c>
      <c r="N204" s="48"/>
      <c r="O204" s="43" t="s">
        <v>113</v>
      </c>
      <c r="Q204" s="43">
        <v>2012</v>
      </c>
      <c r="U204" s="43" t="s">
        <v>177</v>
      </c>
      <c r="V204" s="43" t="str">
        <f>IFERROR(VLOOKUP(Table1[[#This Row],[LC TMDL Drainage Area]],Dropdowns!$P$3:$Q$23,2,FALSE),"")</f>
        <v>Otter Creek</v>
      </c>
      <c r="W204" s="43" t="s">
        <v>115</v>
      </c>
      <c r="X204" s="43" t="s">
        <v>124</v>
      </c>
      <c r="Y204" s="43">
        <v>0.12</v>
      </c>
      <c r="Z204" s="43" t="s">
        <v>136</v>
      </c>
      <c r="AA204" s="43" t="s">
        <v>118</v>
      </c>
      <c r="AB204" s="93"/>
      <c r="AC204" s="93"/>
      <c r="AD204" s="93"/>
      <c r="AE204" s="93"/>
      <c r="AF204" s="43">
        <v>7.0000000000000007E-2</v>
      </c>
      <c r="AG204" s="43" t="s">
        <v>119</v>
      </c>
      <c r="AH204">
        <v>4.7</v>
      </c>
      <c r="AI204">
        <v>0.18</v>
      </c>
      <c r="AJ204">
        <v>4</v>
      </c>
      <c r="AK204">
        <v>213</v>
      </c>
      <c r="AL204">
        <v>207</v>
      </c>
      <c r="AM204"/>
      <c r="AN204" s="50">
        <v>207.80279999999999</v>
      </c>
      <c r="AP204" s="79" t="s">
        <v>196</v>
      </c>
      <c r="AQ204" s="79" t="s">
        <v>196</v>
      </c>
      <c r="AR20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8.233744218789997E-2</v>
      </c>
      <c r="AS20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0.44399597158217952</v>
      </c>
      <c r="AT20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20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0.21997985791089752</v>
      </c>
      <c r="AV20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5.8799194316435904E-2</v>
      </c>
      <c r="AW204" s="19">
        <f>IFERROR(Table1[[#This Row],[* Practice Efficiency]]*Table1[[#This Row],[* Load Before Treatment (kg/yr)]],"")</f>
        <v>4.8413752627246374E-3</v>
      </c>
      <c r="AX204" s="100">
        <f>Table1[[#This Row],[Manually entered practice effiency ]]*Table1[[#This Row],[* Load Before Treatment (kg/yr)]]</f>
        <v>0</v>
      </c>
      <c r="AY204" s="43" t="s">
        <v>121</v>
      </c>
      <c r="BA204" s="101">
        <v>1</v>
      </c>
      <c r="BB20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4.8413752627246374E-3</v>
      </c>
      <c r="BC204" s="44"/>
      <c r="BD204" s="44"/>
      <c r="BJ204" s="43"/>
      <c r="BK204" s="45"/>
      <c r="BL204" s="45"/>
      <c r="BM20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0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0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0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0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04" s="19" t="str">
        <f>IFERROR(Table1[[#This Row],[* Prior Practice Efficiency]]*Table1[[#This Row],[* Prior Load Before Treatment (kg/year)]],"")</f>
        <v/>
      </c>
      <c r="BT204" s="19" t="s">
        <v>230</v>
      </c>
    </row>
    <row r="205" spans="1:72">
      <c r="B205" s="43" t="s">
        <v>220</v>
      </c>
      <c r="C205" s="43" t="s">
        <v>109</v>
      </c>
      <c r="D205" s="43" t="s">
        <v>110</v>
      </c>
      <c r="G205" s="44">
        <v>0.23</v>
      </c>
      <c r="H205" s="44">
        <v>1.81</v>
      </c>
      <c r="I205" s="44">
        <v>0.08</v>
      </c>
      <c r="J205" s="43" t="s">
        <v>221</v>
      </c>
      <c r="K205" s="67" t="s">
        <v>150</v>
      </c>
      <c r="N205" s="48"/>
      <c r="O205" s="43" t="s">
        <v>113</v>
      </c>
      <c r="Q205" s="43">
        <v>2012</v>
      </c>
      <c r="U205" s="43" t="s">
        <v>177</v>
      </c>
      <c r="V205" s="43" t="str">
        <f>IFERROR(VLOOKUP(Table1[[#This Row],[LC TMDL Drainage Area]],Dropdowns!$P$3:$Q$23,2,FALSE),"")</f>
        <v>Otter Creek</v>
      </c>
      <c r="W205" s="43" t="s">
        <v>115</v>
      </c>
      <c r="X205" s="43" t="s">
        <v>124</v>
      </c>
      <c r="Y205" s="43">
        <v>0.03</v>
      </c>
      <c r="Z205" s="43" t="s">
        <v>146</v>
      </c>
      <c r="AA205" s="43" t="s">
        <v>118</v>
      </c>
      <c r="AB205" s="93"/>
      <c r="AC205" s="93"/>
      <c r="AD205" s="93"/>
      <c r="AE205" s="93"/>
      <c r="AF205" s="43">
        <v>0.05</v>
      </c>
      <c r="AG205" s="43" t="s">
        <v>119</v>
      </c>
      <c r="AH205" s="195">
        <v>4.7</v>
      </c>
      <c r="AI205" s="195">
        <v>0.23</v>
      </c>
      <c r="AJ205">
        <v>4</v>
      </c>
      <c r="AK205">
        <v>131</v>
      </c>
      <c r="AL205">
        <v>78</v>
      </c>
      <c r="AM205"/>
      <c r="AN205" s="50">
        <v>169.3306</v>
      </c>
      <c r="AP205" s="79" t="s">
        <v>196</v>
      </c>
      <c r="AQ205" s="79" t="s">
        <v>196</v>
      </c>
      <c r="AR20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3.1760751700826179E-2</v>
      </c>
      <c r="AS20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1.0451054549484589</v>
      </c>
      <c r="AT20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7.9999999999999988E-2</v>
      </c>
      <c r="AU20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9.0210909896917713E-2</v>
      </c>
      <c r="AV20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0.17721687279175344</v>
      </c>
      <c r="AW205" s="19">
        <f>IFERROR(Table1[[#This Row],[* Practice Efficiency]]*Table1[[#This Row],[* Load Before Treatment (kg/yr)]],"")</f>
        <v>5.6285410939357792E-3</v>
      </c>
      <c r="AX205" s="100">
        <f>Table1[[#This Row],[Manually entered practice effiency ]]*Table1[[#This Row],[* Load Before Treatment (kg/yr)]]</f>
        <v>0</v>
      </c>
      <c r="AY205" s="43" t="s">
        <v>121</v>
      </c>
      <c r="BA205" s="101">
        <v>1</v>
      </c>
      <c r="BB20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5.6285410939357792E-3</v>
      </c>
      <c r="BC205" s="44"/>
      <c r="BD205" s="44"/>
      <c r="BJ205" s="43"/>
      <c r="BK205" s="45"/>
      <c r="BL205" s="45"/>
      <c r="BM20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0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0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0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0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05" s="19" t="str">
        <f>IFERROR(Table1[[#This Row],[* Prior Practice Efficiency]]*Table1[[#This Row],[* Prior Load Before Treatment (kg/year)]],"")</f>
        <v/>
      </c>
      <c r="BT205" s="19" t="s">
        <v>231</v>
      </c>
    </row>
    <row r="206" spans="1:72">
      <c r="A206" s="43" t="s">
        <v>232</v>
      </c>
      <c r="B206" s="43" t="s">
        <v>220</v>
      </c>
      <c r="C206" s="43" t="s">
        <v>109</v>
      </c>
      <c r="D206" s="43" t="s">
        <v>110</v>
      </c>
      <c r="G206" s="44">
        <v>0.23</v>
      </c>
      <c r="H206" s="44">
        <v>1.81</v>
      </c>
      <c r="I206" s="44">
        <v>0.64</v>
      </c>
      <c r="J206" s="43" t="s">
        <v>221</v>
      </c>
      <c r="K206" s="67" t="s">
        <v>150</v>
      </c>
      <c r="N206" s="48"/>
      <c r="O206" s="43" t="s">
        <v>113</v>
      </c>
      <c r="Q206" s="43">
        <v>2012</v>
      </c>
      <c r="U206" s="43" t="s">
        <v>177</v>
      </c>
      <c r="V206" s="43" t="str">
        <f>IFERROR(VLOOKUP(Table1[[#This Row],[LC TMDL Drainage Area]],Dropdowns!$P$3:$Q$23,2,FALSE),"")</f>
        <v>Otter Creek</v>
      </c>
      <c r="W206" s="43" t="s">
        <v>115</v>
      </c>
      <c r="X206" s="43" t="s">
        <v>124</v>
      </c>
      <c r="Y206" s="43">
        <v>0.46</v>
      </c>
      <c r="Z206" s="43" t="s">
        <v>146</v>
      </c>
      <c r="AA206" s="43" t="s">
        <v>118</v>
      </c>
      <c r="AB206" s="93"/>
      <c r="AC206" s="93"/>
      <c r="AD206" s="93"/>
      <c r="AE206" s="93"/>
      <c r="AF206" s="43">
        <v>0.18</v>
      </c>
      <c r="AG206" s="43" t="s">
        <v>119</v>
      </c>
      <c r="AH206">
        <v>4.7</v>
      </c>
      <c r="AI206">
        <v>0.45</v>
      </c>
      <c r="AJ206">
        <v>4</v>
      </c>
      <c r="AK206">
        <v>262</v>
      </c>
      <c r="AL206">
        <v>251</v>
      </c>
      <c r="AM206"/>
      <c r="AN206" s="50">
        <v>766.35</v>
      </c>
      <c r="AP206" s="79" t="s">
        <v>196</v>
      </c>
      <c r="AQ206" s="79" t="s">
        <v>196</v>
      </c>
      <c r="AR20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0.48699819274600142</v>
      </c>
      <c r="AS20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0.43741274408138825</v>
      </c>
      <c r="AT20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20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0.18706372040694116</v>
      </c>
      <c r="AV20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5.7482548816277651E-2</v>
      </c>
      <c r="AW206" s="19">
        <f>IFERROR(Table1[[#This Row],[* Practice Efficiency]]*Table1[[#This Row],[* Load Before Treatment (kg/yr)]],"")</f>
        <v>2.7993897387961021E-2</v>
      </c>
      <c r="AX206" s="100">
        <f>Table1[[#This Row],[Manually entered practice effiency ]]*Table1[[#This Row],[* Load Before Treatment (kg/yr)]]</f>
        <v>0</v>
      </c>
      <c r="AY206" s="43" t="s">
        <v>121</v>
      </c>
      <c r="BA206" s="101">
        <v>1</v>
      </c>
      <c r="BB20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2.7993897387961021E-2</v>
      </c>
      <c r="BC206" s="44"/>
      <c r="BD206" s="44"/>
      <c r="BJ206" s="43"/>
      <c r="BK206" s="45"/>
      <c r="BL206" s="45"/>
      <c r="BM20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0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0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0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0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06" s="19" t="str">
        <f>IFERROR(Table1[[#This Row],[* Prior Practice Efficiency]]*Table1[[#This Row],[* Prior Load Before Treatment (kg/year)]],"")</f>
        <v/>
      </c>
      <c r="BT206" s="19" t="s">
        <v>233</v>
      </c>
    </row>
    <row r="207" spans="1:72">
      <c r="A207" s="43" t="s">
        <v>234</v>
      </c>
      <c r="B207" s="43" t="s">
        <v>220</v>
      </c>
      <c r="C207" s="43" t="s">
        <v>109</v>
      </c>
      <c r="D207" s="43" t="s">
        <v>110</v>
      </c>
      <c r="G207" s="44">
        <v>0.23</v>
      </c>
      <c r="H207" s="44">
        <v>1.81</v>
      </c>
      <c r="I207" s="44">
        <v>0.08</v>
      </c>
      <c r="J207" s="43" t="s">
        <v>221</v>
      </c>
      <c r="K207" s="67" t="s">
        <v>150</v>
      </c>
      <c r="N207" s="48"/>
      <c r="O207" s="43" t="s">
        <v>113</v>
      </c>
      <c r="Q207" s="43">
        <v>2012</v>
      </c>
      <c r="U207" s="43" t="s">
        <v>177</v>
      </c>
      <c r="V207" s="43" t="str">
        <f>IFERROR(VLOOKUP(Table1[[#This Row],[LC TMDL Drainage Area]],Dropdowns!$P$3:$Q$23,2,FALSE),"")</f>
        <v>Otter Creek</v>
      </c>
      <c r="W207" s="43" t="s">
        <v>115</v>
      </c>
      <c r="X207" s="43" t="s">
        <v>124</v>
      </c>
      <c r="Y207" s="43">
        <v>0.03</v>
      </c>
      <c r="Z207" s="43" t="s">
        <v>146</v>
      </c>
      <c r="AA207" s="43" t="s">
        <v>118</v>
      </c>
      <c r="AB207" s="93"/>
      <c r="AC207" s="93"/>
      <c r="AD207" s="93"/>
      <c r="AE207" s="93"/>
      <c r="AF207" s="43">
        <v>0.05</v>
      </c>
      <c r="AG207" s="43" t="s">
        <v>119</v>
      </c>
      <c r="AH207" s="195">
        <v>4.7</v>
      </c>
      <c r="AI207" s="195">
        <v>0.48</v>
      </c>
      <c r="AJ207">
        <v>4</v>
      </c>
      <c r="AK207">
        <v>121</v>
      </c>
      <c r="AL207">
        <v>103</v>
      </c>
      <c r="AM207"/>
      <c r="AN207" s="50">
        <v>384.4896</v>
      </c>
      <c r="AP207" s="79" t="s">
        <v>196</v>
      </c>
      <c r="AQ207" s="79" t="s">
        <v>196</v>
      </c>
      <c r="AR20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3.1760751700826179E-2</v>
      </c>
      <c r="AS20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1.8855727350047893</v>
      </c>
      <c r="AT20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7.0000000000000007E-2</v>
      </c>
      <c r="AU20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0.77114547000957856</v>
      </c>
      <c r="AV20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0.26398018290067049</v>
      </c>
      <c r="AW207" s="19">
        <f>IFERROR(Table1[[#This Row],[* Practice Efficiency]]*Table1[[#This Row],[* Load Before Treatment (kg/yr)]],"")</f>
        <v>8.3842090430468752E-3</v>
      </c>
      <c r="AX207" s="100">
        <f>Table1[[#This Row],[Manually entered practice effiency ]]*Table1[[#This Row],[* Load Before Treatment (kg/yr)]]</f>
        <v>0</v>
      </c>
      <c r="AY207" s="43" t="s">
        <v>121</v>
      </c>
      <c r="BA207" s="101">
        <v>1</v>
      </c>
      <c r="BB20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8.3842090430468752E-3</v>
      </c>
      <c r="BC207" s="44"/>
      <c r="BD207" s="44"/>
      <c r="BJ207" s="43"/>
      <c r="BK207" s="45"/>
      <c r="BL207" s="45"/>
      <c r="BM20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0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0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0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0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07" s="19" t="str">
        <f>IFERROR(Table1[[#This Row],[* Prior Practice Efficiency]]*Table1[[#This Row],[* Prior Load Before Treatment (kg/year)]],"")</f>
        <v/>
      </c>
      <c r="BT207" s="19" t="s">
        <v>235</v>
      </c>
    </row>
    <row r="208" spans="1:72">
      <c r="A208" s="43" t="s">
        <v>236</v>
      </c>
      <c r="B208" s="43" t="s">
        <v>220</v>
      </c>
      <c r="C208" s="43" t="s">
        <v>109</v>
      </c>
      <c r="D208" s="43" t="s">
        <v>110</v>
      </c>
      <c r="G208" s="44">
        <v>0.23</v>
      </c>
      <c r="H208" s="44">
        <v>1.81</v>
      </c>
      <c r="I208" s="44">
        <v>0.33</v>
      </c>
      <c r="J208" s="43" t="s">
        <v>221</v>
      </c>
      <c r="K208" s="67" t="s">
        <v>150</v>
      </c>
      <c r="N208" s="48"/>
      <c r="O208" s="43" t="s">
        <v>113</v>
      </c>
      <c r="Q208" s="43">
        <v>2012</v>
      </c>
      <c r="U208" s="43" t="s">
        <v>177</v>
      </c>
      <c r="V208" s="43" t="str">
        <f>IFERROR(VLOOKUP(Table1[[#This Row],[LC TMDL Drainage Area]],Dropdowns!$P$3:$Q$23,2,FALSE),"")</f>
        <v>Otter Creek</v>
      </c>
      <c r="W208" s="43" t="s">
        <v>115</v>
      </c>
      <c r="X208" s="43" t="s">
        <v>124</v>
      </c>
      <c r="Y208" s="43">
        <v>0.21</v>
      </c>
      <c r="Z208" s="43" t="s">
        <v>146</v>
      </c>
      <c r="AA208" s="43" t="s">
        <v>118</v>
      </c>
      <c r="AB208" s="93"/>
      <c r="AC208" s="93"/>
      <c r="AD208" s="93"/>
      <c r="AE208" s="93"/>
      <c r="AF208" s="43">
        <v>0.12</v>
      </c>
      <c r="AG208" s="43" t="s">
        <v>119</v>
      </c>
      <c r="AH208">
        <v>4.7</v>
      </c>
      <c r="AI208">
        <v>0.21</v>
      </c>
      <c r="AJ208">
        <v>4</v>
      </c>
      <c r="AK208">
        <v>285</v>
      </c>
      <c r="AL208">
        <v>220</v>
      </c>
      <c r="AM208"/>
      <c r="AN208" s="50">
        <v>331.56900000000002</v>
      </c>
      <c r="AP208" s="79" t="s">
        <v>196</v>
      </c>
      <c r="AQ208" s="79" t="s">
        <v>196</v>
      </c>
      <c r="AR20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0.22232526190578322</v>
      </c>
      <c r="AS20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0.40756612203382198</v>
      </c>
      <c r="AT20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20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3.7830610169109775E-2</v>
      </c>
      <c r="AV20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5.1513224406764396E-2</v>
      </c>
      <c r="AW208" s="19">
        <f>IFERROR(Table1[[#This Row],[* Practice Efficiency]]*Table1[[#This Row],[* Load Before Treatment (kg/yr)]],"")</f>
        <v>1.1452691107845279E-2</v>
      </c>
      <c r="AX208" s="100">
        <f>Table1[[#This Row],[Manually entered practice effiency ]]*Table1[[#This Row],[* Load Before Treatment (kg/yr)]]</f>
        <v>0</v>
      </c>
      <c r="AY208" s="43" t="s">
        <v>121</v>
      </c>
      <c r="BA208" s="101">
        <v>1</v>
      </c>
      <c r="BB20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1.1452691107845279E-2</v>
      </c>
      <c r="BC208" s="44"/>
      <c r="BD208" s="44"/>
      <c r="BJ208" s="43"/>
      <c r="BK208" s="45"/>
      <c r="BL208" s="45"/>
      <c r="BM20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0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0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0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0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08" s="19" t="str">
        <f>IFERROR(Table1[[#This Row],[* Prior Practice Efficiency]]*Table1[[#This Row],[* Prior Load Before Treatment (kg/year)]],"")</f>
        <v/>
      </c>
      <c r="BT208" s="19" t="s">
        <v>237</v>
      </c>
    </row>
    <row r="209" spans="1:72">
      <c r="B209" s="43" t="s">
        <v>220</v>
      </c>
      <c r="C209" s="43" t="s">
        <v>109</v>
      </c>
      <c r="D209" s="43" t="s">
        <v>110</v>
      </c>
      <c r="G209" s="44">
        <v>0.23</v>
      </c>
      <c r="H209" s="44">
        <v>1.81</v>
      </c>
      <c r="I209" s="44">
        <v>0.1</v>
      </c>
      <c r="J209" s="43" t="s">
        <v>221</v>
      </c>
      <c r="K209" s="67" t="s">
        <v>150</v>
      </c>
      <c r="N209" s="48"/>
      <c r="O209" s="43" t="s">
        <v>113</v>
      </c>
      <c r="Q209" s="43">
        <v>2012</v>
      </c>
      <c r="U209" s="43" t="s">
        <v>177</v>
      </c>
      <c r="V209" s="43" t="str">
        <f>IFERROR(VLOOKUP(Table1[[#This Row],[LC TMDL Drainage Area]],Dropdowns!$P$3:$Q$23,2,FALSE),"")</f>
        <v>Otter Creek</v>
      </c>
      <c r="W209" s="43" t="s">
        <v>115</v>
      </c>
      <c r="X209" s="43" t="s">
        <v>124</v>
      </c>
      <c r="Y209" s="43">
        <v>0.05</v>
      </c>
      <c r="Z209" s="43" t="s">
        <v>146</v>
      </c>
      <c r="AA209" s="43" t="s">
        <v>118</v>
      </c>
      <c r="AB209" s="93"/>
      <c r="AC209" s="93"/>
      <c r="AD209" s="93"/>
      <c r="AE209" s="93"/>
      <c r="AF209" s="43">
        <v>0.05</v>
      </c>
      <c r="AG209" s="43" t="s">
        <v>119</v>
      </c>
      <c r="AH209" s="195">
        <v>4.7</v>
      </c>
      <c r="AI209" s="195">
        <v>0.12</v>
      </c>
      <c r="AJ209">
        <v>4</v>
      </c>
      <c r="AK209">
        <v>115</v>
      </c>
      <c r="AL209">
        <v>115</v>
      </c>
      <c r="AM209"/>
      <c r="AN209" s="50">
        <v>71.483999999999995</v>
      </c>
      <c r="AP209" s="79" t="s">
        <v>196</v>
      </c>
      <c r="AQ209" s="79" t="s">
        <v>196</v>
      </c>
      <c r="AR20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5.2934586168043633E-2</v>
      </c>
      <c r="AS20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0.35684925333888939</v>
      </c>
      <c r="AT20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0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0.78424626669444686</v>
      </c>
      <c r="AV20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5.1369850667777869E-2</v>
      </c>
      <c r="AW209" s="19">
        <f>IFERROR(Table1[[#This Row],[* Practice Efficiency]]*Table1[[#This Row],[* Load Before Treatment (kg/yr)]],"")</f>
        <v>2.7192417866130215E-3</v>
      </c>
      <c r="AX209" s="100">
        <f>Table1[[#This Row],[Manually entered practice effiency ]]*Table1[[#This Row],[* Load Before Treatment (kg/yr)]]</f>
        <v>0</v>
      </c>
      <c r="AY209" s="43" t="s">
        <v>121</v>
      </c>
      <c r="BA209" s="101">
        <v>1</v>
      </c>
      <c r="BB20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2.7192417866130215E-3</v>
      </c>
      <c r="BC209" s="44"/>
      <c r="BD209" s="44"/>
      <c r="BJ209" s="43"/>
      <c r="BK209" s="45"/>
      <c r="BL209" s="45"/>
      <c r="BM20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0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0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0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0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09" s="19" t="str">
        <f>IFERROR(Table1[[#This Row],[* Prior Practice Efficiency]]*Table1[[#This Row],[* Prior Load Before Treatment (kg/year)]],"")</f>
        <v/>
      </c>
      <c r="BT209" s="19" t="s">
        <v>238</v>
      </c>
    </row>
    <row r="210" spans="1:72">
      <c r="B210" s="43" t="s">
        <v>220</v>
      </c>
      <c r="C210" s="43" t="s">
        <v>109</v>
      </c>
      <c r="D210" s="43" t="s">
        <v>110</v>
      </c>
      <c r="G210" s="44">
        <v>0.06</v>
      </c>
      <c r="H210" s="44">
        <v>0.48</v>
      </c>
      <c r="I210" s="44">
        <v>0.37</v>
      </c>
      <c r="J210" s="43" t="s">
        <v>221</v>
      </c>
      <c r="K210" s="67" t="s">
        <v>154</v>
      </c>
      <c r="N210" s="48"/>
      <c r="O210" s="43" t="s">
        <v>113</v>
      </c>
      <c r="Q210" s="43">
        <v>2012</v>
      </c>
      <c r="U210" s="43" t="s">
        <v>177</v>
      </c>
      <c r="V210" s="43" t="str">
        <f>IFERROR(VLOOKUP(Table1[[#This Row],[LC TMDL Drainage Area]],Dropdowns!$P$3:$Q$23,2,FALSE),"")</f>
        <v>Otter Creek</v>
      </c>
      <c r="W210" s="43" t="s">
        <v>115</v>
      </c>
      <c r="X210" s="43" t="s">
        <v>124</v>
      </c>
      <c r="Y210" s="43">
        <v>0.23</v>
      </c>
      <c r="Z210" s="43" t="s">
        <v>136</v>
      </c>
      <c r="AA210" s="43" t="s">
        <v>118</v>
      </c>
      <c r="AB210" s="93"/>
      <c r="AC210" s="93"/>
      <c r="AD210" s="93"/>
      <c r="AE210" s="93"/>
      <c r="AF210" s="43">
        <v>0.14000000000000001</v>
      </c>
      <c r="AG210" s="43" t="s">
        <v>119</v>
      </c>
      <c r="AH210">
        <v>4.7</v>
      </c>
      <c r="AI210">
        <v>0.12</v>
      </c>
      <c r="AJ210">
        <v>4</v>
      </c>
      <c r="AK210">
        <v>305</v>
      </c>
      <c r="AL210">
        <v>120</v>
      </c>
      <c r="AM210"/>
      <c r="AN210" s="50">
        <v>189.58799999999997</v>
      </c>
      <c r="AP210" s="79" t="s">
        <v>155</v>
      </c>
      <c r="AQ210" s="79" t="s">
        <v>155</v>
      </c>
      <c r="AR21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0.15781343086014163</v>
      </c>
      <c r="AS21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0.21835190621715642</v>
      </c>
      <c r="AT21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1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9.1759531085782026E-2</v>
      </c>
      <c r="AV21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2.3670381243431279E-2</v>
      </c>
      <c r="AW210" s="19">
        <f>IFERROR(Table1[[#This Row],[* Practice Efficiency]]*Table1[[#This Row],[* Load Before Treatment (kg/yr)]],"")</f>
        <v>3.7355040737934355E-3</v>
      </c>
      <c r="AX210" s="100">
        <f>Table1[[#This Row],[Manually entered practice effiency ]]*Table1[[#This Row],[* Load Before Treatment (kg/yr)]]</f>
        <v>0</v>
      </c>
      <c r="AY210" s="43" t="s">
        <v>121</v>
      </c>
      <c r="BA210" s="101">
        <v>1</v>
      </c>
      <c r="BB21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3.7355040737934355E-3</v>
      </c>
      <c r="BC210" s="44"/>
      <c r="BD210" s="44"/>
      <c r="BJ210" s="43"/>
      <c r="BK210" s="45"/>
      <c r="BL210" s="45"/>
      <c r="BM21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1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1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1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1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10" s="19" t="str">
        <f>IFERROR(Table1[[#This Row],[* Prior Practice Efficiency]]*Table1[[#This Row],[* Prior Load Before Treatment (kg/year)]],"")</f>
        <v/>
      </c>
      <c r="BT210" s="19" t="s">
        <v>239</v>
      </c>
    </row>
    <row r="211" spans="1:72">
      <c r="A211" s="43" t="s">
        <v>240</v>
      </c>
      <c r="B211" s="43" t="s">
        <v>220</v>
      </c>
      <c r="C211" s="43" t="s">
        <v>109</v>
      </c>
      <c r="D211" s="43" t="s">
        <v>110</v>
      </c>
      <c r="G211" s="44">
        <v>0.49</v>
      </c>
      <c r="H211" s="44">
        <v>1.1599999999999999</v>
      </c>
      <c r="I211" s="44">
        <v>0.61</v>
      </c>
      <c r="J211" s="43" t="s">
        <v>221</v>
      </c>
      <c r="K211" s="67" t="s">
        <v>157</v>
      </c>
      <c r="N211" s="48"/>
      <c r="O211" s="43" t="s">
        <v>113</v>
      </c>
      <c r="Q211" s="43">
        <v>2012</v>
      </c>
      <c r="U211" s="43" t="s">
        <v>177</v>
      </c>
      <c r="V211" s="43" t="str">
        <f>IFERROR(VLOOKUP(Table1[[#This Row],[LC TMDL Drainage Area]],Dropdowns!$P$3:$Q$23,2,FALSE),"")</f>
        <v>Otter Creek</v>
      </c>
      <c r="W211" s="43" t="s">
        <v>115</v>
      </c>
      <c r="X211" s="43" t="s">
        <v>124</v>
      </c>
      <c r="Y211" s="43">
        <v>0.34</v>
      </c>
      <c r="Z211" s="43" t="s">
        <v>241</v>
      </c>
      <c r="AA211" s="43" t="s">
        <v>118</v>
      </c>
      <c r="AB211" s="93"/>
      <c r="AC211" s="93"/>
      <c r="AD211" s="93"/>
      <c r="AE211" s="93"/>
      <c r="AF211" s="43">
        <v>0.27</v>
      </c>
      <c r="AG211" s="43" t="s">
        <v>119</v>
      </c>
      <c r="AH211" s="195">
        <v>4.7</v>
      </c>
      <c r="AI211" s="195">
        <v>0.14000000000000001</v>
      </c>
      <c r="AJ211">
        <v>4</v>
      </c>
      <c r="AK211">
        <v>755</v>
      </c>
      <c r="AL211">
        <v>223</v>
      </c>
      <c r="AM211"/>
      <c r="AN211" s="50">
        <v>555.98200000000008</v>
      </c>
      <c r="AP211" s="79" t="s">
        <v>155</v>
      </c>
      <c r="AQ211" s="79" t="s">
        <v>155</v>
      </c>
      <c r="AR21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0.16894987266727785</v>
      </c>
      <c r="AS21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0.41166184822931917</v>
      </c>
      <c r="AT21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21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5.8309241146595761E-2</v>
      </c>
      <c r="AV21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5.2332369645863831E-2</v>
      </c>
      <c r="AW211" s="19">
        <f>IFERROR(Table1[[#This Row],[* Practice Efficiency]]*Table1[[#This Row],[* Load Before Treatment (kg/yr)]],"")</f>
        <v>8.8415471880456103E-3</v>
      </c>
      <c r="AX211" s="100">
        <f>Table1[[#This Row],[Manually entered practice effiency ]]*Table1[[#This Row],[* Load Before Treatment (kg/yr)]]</f>
        <v>0</v>
      </c>
      <c r="AY211" s="43" t="s">
        <v>121</v>
      </c>
      <c r="BA211" s="101">
        <v>1</v>
      </c>
      <c r="BB21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8.8415471880456103E-3</v>
      </c>
      <c r="BC211" s="44"/>
      <c r="BD211" s="44"/>
      <c r="BJ211" s="43"/>
      <c r="BK211" s="45"/>
      <c r="BL211" s="45"/>
      <c r="BM21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1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1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1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1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11" s="19" t="str">
        <f>IFERROR(Table1[[#This Row],[* Prior Practice Efficiency]]*Table1[[#This Row],[* Prior Load Before Treatment (kg/year)]],"")</f>
        <v/>
      </c>
      <c r="BT211" s="19" t="s">
        <v>242</v>
      </c>
    </row>
    <row r="212" spans="1:72">
      <c r="A212" s="43" t="s">
        <v>243</v>
      </c>
      <c r="B212" s="43" t="s">
        <v>220</v>
      </c>
      <c r="C212" s="43" t="s">
        <v>109</v>
      </c>
      <c r="D212" s="43" t="s">
        <v>110</v>
      </c>
      <c r="G212" s="44">
        <v>0.49</v>
      </c>
      <c r="H212" s="44">
        <v>1.1599999999999999</v>
      </c>
      <c r="I212" s="44">
        <v>0.19</v>
      </c>
      <c r="J212" s="43" t="s">
        <v>221</v>
      </c>
      <c r="K212" s="67" t="s">
        <v>157</v>
      </c>
      <c r="N212" s="48"/>
      <c r="O212" s="43" t="s">
        <v>113</v>
      </c>
      <c r="Q212" s="43">
        <v>2012</v>
      </c>
      <c r="U212" s="43" t="s">
        <v>177</v>
      </c>
      <c r="V212" s="43" t="str">
        <f>IFERROR(VLOOKUP(Table1[[#This Row],[LC TMDL Drainage Area]],Dropdowns!$P$3:$Q$23,2,FALSE),"")</f>
        <v>Otter Creek</v>
      </c>
      <c r="W212" s="43" t="s">
        <v>115</v>
      </c>
      <c r="X212" s="43" t="s">
        <v>124</v>
      </c>
      <c r="Y212" s="43">
        <v>0.11</v>
      </c>
      <c r="Z212" s="43" t="s">
        <v>241</v>
      </c>
      <c r="AA212" s="43" t="s">
        <v>118</v>
      </c>
      <c r="AB212" s="93"/>
      <c r="AC212" s="93"/>
      <c r="AD212" s="93"/>
      <c r="AE212" s="93"/>
      <c r="AF212" s="43">
        <v>0.08</v>
      </c>
      <c r="AG212" s="43" t="s">
        <v>119</v>
      </c>
      <c r="AH212">
        <v>4.7</v>
      </c>
      <c r="AI212">
        <v>0.14000000000000001</v>
      </c>
      <c r="AJ212">
        <v>4</v>
      </c>
      <c r="AK212">
        <v>197</v>
      </c>
      <c r="AL212">
        <v>176</v>
      </c>
      <c r="AM212"/>
      <c r="AN212" s="50">
        <v>145.07080000000002</v>
      </c>
      <c r="AP212" s="79" t="s">
        <v>155</v>
      </c>
      <c r="AQ212" s="79" t="s">
        <v>155</v>
      </c>
      <c r="AR21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5.4660252921766357E-2</v>
      </c>
      <c r="AS21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0.33896201966777567</v>
      </c>
      <c r="AT21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1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0.6948100983388783</v>
      </c>
      <c r="AV21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4.7792403933555133E-2</v>
      </c>
      <c r="AW212" s="19">
        <f>IFERROR(Table1[[#This Row],[* Practice Efficiency]]*Table1[[#This Row],[* Load Before Treatment (kg/yr)]],"")</f>
        <v>2.6123448867473448E-3</v>
      </c>
      <c r="AX212" s="100">
        <f>Table1[[#This Row],[Manually entered practice effiency ]]*Table1[[#This Row],[* Load Before Treatment (kg/yr)]]</f>
        <v>0</v>
      </c>
      <c r="AY212" s="43" t="s">
        <v>121</v>
      </c>
      <c r="BA212" s="101">
        <v>1</v>
      </c>
      <c r="BB21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2.6123448867473448E-3</v>
      </c>
      <c r="BC212" s="44"/>
      <c r="BD212" s="44"/>
      <c r="BJ212" s="43"/>
      <c r="BK212" s="45"/>
      <c r="BL212" s="45"/>
      <c r="BM21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1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1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1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1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12" s="19" t="str">
        <f>IFERROR(Table1[[#This Row],[* Prior Practice Efficiency]]*Table1[[#This Row],[* Prior Load Before Treatment (kg/year)]],"")</f>
        <v/>
      </c>
      <c r="BT212" s="19" t="s">
        <v>244</v>
      </c>
    </row>
    <row r="213" spans="1:72">
      <c r="A213" s="43" t="s">
        <v>245</v>
      </c>
      <c r="B213" s="43" t="s">
        <v>220</v>
      </c>
      <c r="C213" s="43" t="s">
        <v>109</v>
      </c>
      <c r="D213" s="43" t="s">
        <v>110</v>
      </c>
      <c r="G213" s="44">
        <v>0.49</v>
      </c>
      <c r="H213" s="44">
        <v>1.1599999999999999</v>
      </c>
      <c r="I213" s="44">
        <v>0.36</v>
      </c>
      <c r="J213" s="43" t="s">
        <v>221</v>
      </c>
      <c r="K213" s="67" t="s">
        <v>157</v>
      </c>
      <c r="N213" s="48"/>
      <c r="O213" s="43" t="s">
        <v>113</v>
      </c>
      <c r="Q213" s="43">
        <v>2012</v>
      </c>
      <c r="U213" s="43" t="s">
        <v>177</v>
      </c>
      <c r="V213" s="43" t="str">
        <f>IFERROR(VLOOKUP(Table1[[#This Row],[LC TMDL Drainage Area]],Dropdowns!$P$3:$Q$23,2,FALSE),"")</f>
        <v>Otter Creek</v>
      </c>
      <c r="W213" s="43" t="s">
        <v>115</v>
      </c>
      <c r="X213" s="43" t="s">
        <v>124</v>
      </c>
      <c r="Y213" s="43">
        <v>0.22</v>
      </c>
      <c r="Z213" s="43" t="s">
        <v>136</v>
      </c>
      <c r="AA213" s="43" t="s">
        <v>118</v>
      </c>
      <c r="AB213" s="93"/>
      <c r="AC213" s="93"/>
      <c r="AD213" s="93"/>
      <c r="AE213" s="93"/>
      <c r="AF213" s="43">
        <v>0.14000000000000001</v>
      </c>
      <c r="AG213" s="43" t="s">
        <v>119</v>
      </c>
      <c r="AH213">
        <v>4.7</v>
      </c>
      <c r="AI213" s="195">
        <v>0.57999999999999996</v>
      </c>
      <c r="AJ213">
        <v>4</v>
      </c>
      <c r="AK213">
        <v>358</v>
      </c>
      <c r="AL213">
        <v>193</v>
      </c>
      <c r="AM213"/>
      <c r="AN213" s="50">
        <v>1457.6327999999996</v>
      </c>
      <c r="AP213" s="79" t="s">
        <v>155</v>
      </c>
      <c r="AQ213" s="79" t="s">
        <v>155</v>
      </c>
      <c r="AR21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0.15095197734448329</v>
      </c>
      <c r="AS21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1.4517033960836274</v>
      </c>
      <c r="AT21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7.9999999999999988E-2</v>
      </c>
      <c r="AU21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0.90340679216725484</v>
      </c>
      <c r="AV21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0.24227254337338039</v>
      </c>
      <c r="AW213" s="19">
        <f>IFERROR(Table1[[#This Row],[* Practice Efficiency]]*Table1[[#This Row],[* Load Before Treatment (kg/yr)]],"")</f>
        <v>3.6571519478488863E-2</v>
      </c>
      <c r="AX213" s="100">
        <f>Table1[[#This Row],[Manually entered practice effiency ]]*Table1[[#This Row],[* Load Before Treatment (kg/yr)]]</f>
        <v>0</v>
      </c>
      <c r="AY213" s="43" t="s">
        <v>121</v>
      </c>
      <c r="BA213" s="101">
        <v>1</v>
      </c>
      <c r="BB21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3.6571519478488863E-2</v>
      </c>
      <c r="BC213" s="44"/>
      <c r="BD213" s="44"/>
      <c r="BJ213" s="43"/>
      <c r="BK213" s="45"/>
      <c r="BL213" s="45"/>
      <c r="BM21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1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1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1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1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13" s="19" t="str">
        <f>IFERROR(Table1[[#This Row],[* Prior Practice Efficiency]]*Table1[[#This Row],[* Prior Load Before Treatment (kg/year)]],"")</f>
        <v/>
      </c>
      <c r="BT213" s="19" t="s">
        <v>246</v>
      </c>
    </row>
    <row r="214" spans="1:72">
      <c r="A214" s="43" t="s">
        <v>247</v>
      </c>
      <c r="B214" s="43" t="s">
        <v>220</v>
      </c>
      <c r="C214" s="43" t="s">
        <v>109</v>
      </c>
      <c r="D214" s="43" t="s">
        <v>110</v>
      </c>
      <c r="G214" s="44">
        <v>0.49</v>
      </c>
      <c r="H214" s="44">
        <v>1.1599999999999999</v>
      </c>
      <c r="I214" s="44">
        <v>0.39</v>
      </c>
      <c r="J214" s="43" t="s">
        <v>221</v>
      </c>
      <c r="K214" s="67" t="s">
        <v>157</v>
      </c>
      <c r="N214" s="48"/>
      <c r="O214" s="43" t="s">
        <v>113</v>
      </c>
      <c r="Q214" s="43">
        <v>2012</v>
      </c>
      <c r="U214" s="43" t="s">
        <v>177</v>
      </c>
      <c r="V214" s="43" t="str">
        <f>IFERROR(VLOOKUP(Table1[[#This Row],[LC TMDL Drainage Area]],Dropdowns!$P$3:$Q$23,2,FALSE),"")</f>
        <v>Otter Creek</v>
      </c>
      <c r="W214" s="43" t="s">
        <v>115</v>
      </c>
      <c r="X214" s="43" t="s">
        <v>124</v>
      </c>
      <c r="Y214" s="43">
        <v>0.26</v>
      </c>
      <c r="Z214" s="43" t="s">
        <v>136</v>
      </c>
      <c r="AA214" s="43" t="s">
        <v>118</v>
      </c>
      <c r="AB214" s="93"/>
      <c r="AC214" s="93"/>
      <c r="AD214" s="93"/>
      <c r="AE214" s="93"/>
      <c r="AF214" s="43">
        <v>0.13</v>
      </c>
      <c r="AG214" s="43" t="s">
        <v>119</v>
      </c>
      <c r="AH214" s="195">
        <v>4.7</v>
      </c>
      <c r="AI214">
        <v>0.61</v>
      </c>
      <c r="AJ214">
        <v>4</v>
      </c>
      <c r="AK214">
        <v>341</v>
      </c>
      <c r="AL214">
        <v>199</v>
      </c>
      <c r="AM214"/>
      <c r="AN214" s="50">
        <v>1485.1914000000002</v>
      </c>
      <c r="AP214" s="79" t="s">
        <v>155</v>
      </c>
      <c r="AQ214" s="79" t="s">
        <v>155</v>
      </c>
      <c r="AR21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0.17839779140711662</v>
      </c>
      <c r="AS21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1.3277839013384307</v>
      </c>
      <c r="AT21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7.9999999999999988E-2</v>
      </c>
      <c r="AU21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0.65556780267686143</v>
      </c>
      <c r="AV21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0.22244542421414892</v>
      </c>
      <c r="AW214" s="19">
        <f>IFERROR(Table1[[#This Row],[* Practice Efficiency]]*Table1[[#This Row],[* Load Before Treatment (kg/yr)]],"")</f>
        <v>3.9683772388423307E-2</v>
      </c>
      <c r="AX214" s="100">
        <f>Table1[[#This Row],[Manually entered practice effiency ]]*Table1[[#This Row],[* Load Before Treatment (kg/yr)]]</f>
        <v>0</v>
      </c>
      <c r="AY214" s="43" t="s">
        <v>121</v>
      </c>
      <c r="BA214" s="101">
        <v>1</v>
      </c>
      <c r="BB21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3.9683772388423307E-2</v>
      </c>
      <c r="BC214" s="44"/>
      <c r="BD214" s="44"/>
      <c r="BJ214" s="43"/>
      <c r="BK214" s="45"/>
      <c r="BL214" s="45"/>
      <c r="BM21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1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1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1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1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14" s="19" t="str">
        <f>IFERROR(Table1[[#This Row],[* Prior Practice Efficiency]]*Table1[[#This Row],[* Prior Load Before Treatment (kg/year)]],"")</f>
        <v/>
      </c>
      <c r="BT214" s="19" t="s">
        <v>248</v>
      </c>
    </row>
    <row r="215" spans="1:72">
      <c r="A215" s="43" t="s">
        <v>249</v>
      </c>
      <c r="B215" s="43" t="s">
        <v>220</v>
      </c>
      <c r="C215" s="43" t="s">
        <v>109</v>
      </c>
      <c r="D215" s="43" t="s">
        <v>110</v>
      </c>
      <c r="G215" s="44">
        <v>0.49</v>
      </c>
      <c r="H215" s="44">
        <v>1.1599999999999999</v>
      </c>
      <c r="I215" s="44">
        <v>0.11</v>
      </c>
      <c r="J215" s="43" t="s">
        <v>221</v>
      </c>
      <c r="K215" s="67" t="s">
        <v>157</v>
      </c>
      <c r="N215" s="48"/>
      <c r="O215" s="43" t="s">
        <v>113</v>
      </c>
      <c r="Q215" s="43">
        <v>2012</v>
      </c>
      <c r="U215" s="43" t="s">
        <v>177</v>
      </c>
      <c r="V215" s="43" t="str">
        <f>IFERROR(VLOOKUP(Table1[[#This Row],[LC TMDL Drainage Area]],Dropdowns!$P$3:$Q$23,2,FALSE),"")</f>
        <v>Otter Creek</v>
      </c>
      <c r="W215" s="43" t="s">
        <v>115</v>
      </c>
      <c r="X215" s="43" t="s">
        <v>124</v>
      </c>
      <c r="Y215" s="43">
        <v>0.04</v>
      </c>
      <c r="Z215" s="43" t="s">
        <v>136</v>
      </c>
      <c r="AA215" s="43" t="s">
        <v>118</v>
      </c>
      <c r="AB215" s="93"/>
      <c r="AC215" s="93"/>
      <c r="AD215" s="93"/>
      <c r="AE215" s="93"/>
      <c r="AF215" s="43">
        <v>7.0000000000000007E-2</v>
      </c>
      <c r="AG215" s="43" t="s">
        <v>119</v>
      </c>
      <c r="AH215">
        <v>4.7</v>
      </c>
      <c r="AI215" s="195">
        <v>7.0000000000000007E-2</v>
      </c>
      <c r="AJ215">
        <v>4</v>
      </c>
      <c r="AK215">
        <v>197</v>
      </c>
      <c r="AL215">
        <v>67</v>
      </c>
      <c r="AM215"/>
      <c r="AN215" s="50">
        <v>68.674200000000013</v>
      </c>
      <c r="AP215" s="79" t="s">
        <v>155</v>
      </c>
      <c r="AQ215" s="79" t="s">
        <v>155</v>
      </c>
      <c r="AR21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2.7445814062633325E-2</v>
      </c>
      <c r="AS21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0.39431250040580651</v>
      </c>
      <c r="AT21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1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0.97156250202903249</v>
      </c>
      <c r="AV21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5.8862500081161298E-2</v>
      </c>
      <c r="AW215" s="19">
        <f>IFERROR(Table1[[#This Row],[* Practice Efficiency]]*Table1[[#This Row],[* Load Before Treatment (kg/yr)]],"")</f>
        <v>1.615529232489292E-3</v>
      </c>
      <c r="AX215" s="100">
        <f>Table1[[#This Row],[Manually entered practice effiency ]]*Table1[[#This Row],[* Load Before Treatment (kg/yr)]]</f>
        <v>0</v>
      </c>
      <c r="AY215" s="43" t="s">
        <v>121</v>
      </c>
      <c r="BA215" s="101">
        <v>1</v>
      </c>
      <c r="BB21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1.615529232489292E-3</v>
      </c>
      <c r="BC215" s="44"/>
      <c r="BD215" s="44"/>
      <c r="BJ215" s="43"/>
      <c r="BK215" s="45"/>
      <c r="BL215" s="45"/>
      <c r="BM21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1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1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1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1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15" s="19" t="str">
        <f>IFERROR(Table1[[#This Row],[* Prior Practice Efficiency]]*Table1[[#This Row],[* Prior Load Before Treatment (kg/year)]],"")</f>
        <v/>
      </c>
      <c r="BT215" s="19" t="s">
        <v>250</v>
      </c>
    </row>
    <row r="216" spans="1:72">
      <c r="A216" s="43" t="s">
        <v>251</v>
      </c>
      <c r="B216" s="43" t="s">
        <v>220</v>
      </c>
      <c r="C216" s="43" t="s">
        <v>109</v>
      </c>
      <c r="D216" s="43" t="s">
        <v>110</v>
      </c>
      <c r="G216" s="44">
        <v>0.38</v>
      </c>
      <c r="H216" s="44">
        <v>1.1599999999999999</v>
      </c>
      <c r="I216" s="44">
        <v>0.36</v>
      </c>
      <c r="J216" s="43" t="s">
        <v>221</v>
      </c>
      <c r="K216" s="67" t="s">
        <v>159</v>
      </c>
      <c r="N216" s="48"/>
      <c r="O216" s="43" t="s">
        <v>113</v>
      </c>
      <c r="Q216" s="43">
        <v>2012</v>
      </c>
      <c r="U216" s="43" t="s">
        <v>177</v>
      </c>
      <c r="V216" s="43" t="str">
        <f>IFERROR(VLOOKUP(Table1[[#This Row],[LC TMDL Drainage Area]],Dropdowns!$P$3:$Q$23,2,FALSE),"")</f>
        <v>Otter Creek</v>
      </c>
      <c r="W216" s="43" t="s">
        <v>115</v>
      </c>
      <c r="X216" s="43" t="s">
        <v>124</v>
      </c>
      <c r="Y216" s="43">
        <v>0.23</v>
      </c>
      <c r="Z216" s="43" t="s">
        <v>146</v>
      </c>
      <c r="AA216" s="43" t="s">
        <v>118</v>
      </c>
      <c r="AB216" s="93"/>
      <c r="AC216" s="93"/>
      <c r="AD216" s="93"/>
      <c r="AE216" s="93"/>
      <c r="AF216" s="43">
        <v>0.13</v>
      </c>
      <c r="AG216" s="43" t="s">
        <v>119</v>
      </c>
      <c r="AH216">
        <v>4.7</v>
      </c>
      <c r="AI216" s="195">
        <v>0.42</v>
      </c>
      <c r="AJ216">
        <v>4</v>
      </c>
      <c r="AK216">
        <v>328</v>
      </c>
      <c r="AL216">
        <v>190</v>
      </c>
      <c r="AM216"/>
      <c r="AN216" s="50">
        <v>878.90879999999993</v>
      </c>
      <c r="AP216" s="79" t="s">
        <v>155</v>
      </c>
      <c r="AQ216" s="79" t="s">
        <v>155</v>
      </c>
      <c r="AR21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0.24349909637300071</v>
      </c>
      <c r="AS21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0.91874191807200534</v>
      </c>
      <c r="AT21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3.999999999999998E-2</v>
      </c>
      <c r="AU21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0.59370959036002657</v>
      </c>
      <c r="AV21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0.15374838361440105</v>
      </c>
      <c r="AW216" s="19">
        <f>IFERROR(Table1[[#This Row],[* Practice Efficiency]]*Table1[[#This Row],[* Load Before Treatment (kg/yr)]],"")</f>
        <v>3.7437592478916121E-2</v>
      </c>
      <c r="AX216" s="100">
        <f>Table1[[#This Row],[Manually entered practice effiency ]]*Table1[[#This Row],[* Load Before Treatment (kg/yr)]]</f>
        <v>0</v>
      </c>
      <c r="AY216" s="43" t="s">
        <v>121</v>
      </c>
      <c r="BA216" s="101">
        <v>1</v>
      </c>
      <c r="BB21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3.7437592478916121E-2</v>
      </c>
      <c r="BC216" s="44"/>
      <c r="BD216" s="44"/>
      <c r="BJ216" s="43"/>
      <c r="BK216" s="45"/>
      <c r="BL216" s="45"/>
      <c r="BM21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1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1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1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1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16" s="19" t="str">
        <f>IFERROR(Table1[[#This Row],[* Prior Practice Efficiency]]*Table1[[#This Row],[* Prior Load Before Treatment (kg/year)]],"")</f>
        <v/>
      </c>
      <c r="BT216" s="19" t="s">
        <v>252</v>
      </c>
    </row>
    <row r="217" spans="1:72">
      <c r="A217" s="43" t="s">
        <v>253</v>
      </c>
      <c r="B217" s="43" t="s">
        <v>220</v>
      </c>
      <c r="C217" s="43" t="s">
        <v>109</v>
      </c>
      <c r="D217" s="43" t="s">
        <v>110</v>
      </c>
      <c r="G217" s="44">
        <v>0.38</v>
      </c>
      <c r="H217" s="44">
        <v>1.1599999999999999</v>
      </c>
      <c r="I217" s="44">
        <v>0.17</v>
      </c>
      <c r="J217" s="43" t="s">
        <v>221</v>
      </c>
      <c r="K217" s="67" t="s">
        <v>159</v>
      </c>
      <c r="N217" s="48"/>
      <c r="O217" s="43" t="s">
        <v>113</v>
      </c>
      <c r="Q217" s="43">
        <v>2012</v>
      </c>
      <c r="U217" s="43" t="s">
        <v>177</v>
      </c>
      <c r="V217" s="43" t="str">
        <f>IFERROR(VLOOKUP(Table1[[#This Row],[LC TMDL Drainage Area]],Dropdowns!$P$3:$Q$23,2,FALSE),"")</f>
        <v>Otter Creek</v>
      </c>
      <c r="W217" s="43" t="s">
        <v>115</v>
      </c>
      <c r="X217" s="43" t="s">
        <v>124</v>
      </c>
      <c r="Y217" s="43">
        <v>0.09</v>
      </c>
      <c r="Z217" s="43" t="s">
        <v>146</v>
      </c>
      <c r="AA217" s="43" t="s">
        <v>118</v>
      </c>
      <c r="AB217" s="93"/>
      <c r="AC217" s="93"/>
      <c r="AD217" s="93"/>
      <c r="AE217" s="93"/>
      <c r="AF217" s="43">
        <v>0.08</v>
      </c>
      <c r="AG217" s="43" t="s">
        <v>119</v>
      </c>
      <c r="AH217" s="195">
        <v>4.7</v>
      </c>
      <c r="AI217" s="195">
        <v>0.36</v>
      </c>
      <c r="AJ217">
        <v>4</v>
      </c>
      <c r="AK217">
        <v>217</v>
      </c>
      <c r="AL217">
        <v>124</v>
      </c>
      <c r="AM217"/>
      <c r="AN217" s="50">
        <v>479.65679999999998</v>
      </c>
      <c r="AP217" s="79" t="s">
        <v>120</v>
      </c>
      <c r="AQ217" s="79" t="s">
        <v>120</v>
      </c>
      <c r="AR21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9.5282255102478536E-2</v>
      </c>
      <c r="AS21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1.1433239922898599</v>
      </c>
      <c r="AT21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7.9999999999999988E-2</v>
      </c>
      <c r="AU21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0.28664798457971985</v>
      </c>
      <c r="AV21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0.19293183876637759</v>
      </c>
      <c r="AW217" s="19">
        <f>IFERROR(Table1[[#This Row],[* Practice Efficiency]]*Table1[[#This Row],[* Load Before Treatment (kg/yr)]],"")</f>
        <v>1.8382980678728247E-2</v>
      </c>
      <c r="AX217" s="100">
        <f>Table1[[#This Row],[Manually entered practice effiency ]]*Table1[[#This Row],[* Load Before Treatment (kg/yr)]]</f>
        <v>0</v>
      </c>
      <c r="AY217" s="43" t="s">
        <v>121</v>
      </c>
      <c r="BA217" s="101">
        <v>1</v>
      </c>
      <c r="BB21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1.8382980678728247E-2</v>
      </c>
      <c r="BC217" s="44"/>
      <c r="BD217" s="44"/>
      <c r="BJ217" s="43"/>
      <c r="BK217" s="45"/>
      <c r="BL217" s="45"/>
      <c r="BM21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1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1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1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1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17" s="19" t="str">
        <f>IFERROR(Table1[[#This Row],[* Prior Practice Efficiency]]*Table1[[#This Row],[* Prior Load Before Treatment (kg/year)]],"")</f>
        <v/>
      </c>
      <c r="BT217" s="19" t="s">
        <v>254</v>
      </c>
    </row>
    <row r="218" spans="1:72">
      <c r="A218" s="43" t="s">
        <v>255</v>
      </c>
      <c r="B218" s="43" t="s">
        <v>220</v>
      </c>
      <c r="C218" s="43" t="s">
        <v>109</v>
      </c>
      <c r="D218" s="43" t="s">
        <v>110</v>
      </c>
      <c r="G218" s="44">
        <v>0.38</v>
      </c>
      <c r="H218" s="44">
        <v>1.1599999999999999</v>
      </c>
      <c r="I218" s="44">
        <v>0.27</v>
      </c>
      <c r="J218" s="43" t="s">
        <v>221</v>
      </c>
      <c r="K218" s="67" t="s">
        <v>159</v>
      </c>
      <c r="N218" s="48"/>
      <c r="O218" s="43" t="s">
        <v>113</v>
      </c>
      <c r="Q218" s="43">
        <v>2012</v>
      </c>
      <c r="U218" s="43" t="s">
        <v>177</v>
      </c>
      <c r="V218" s="43" t="str">
        <f>IFERROR(VLOOKUP(Table1[[#This Row],[LC TMDL Drainage Area]],Dropdowns!$P$3:$Q$23,2,FALSE),"")</f>
        <v>Otter Creek</v>
      </c>
      <c r="W218" s="43" t="s">
        <v>115</v>
      </c>
      <c r="X218" s="43" t="s">
        <v>124</v>
      </c>
      <c r="Y218" s="43">
        <v>0.15</v>
      </c>
      <c r="Z218" s="43" t="s">
        <v>146</v>
      </c>
      <c r="AA218" s="43" t="s">
        <v>118</v>
      </c>
      <c r="AB218" s="93"/>
      <c r="AC218" s="93"/>
      <c r="AD218" s="93"/>
      <c r="AE218" s="93"/>
      <c r="AF218" s="43">
        <v>0.12</v>
      </c>
      <c r="AG218" s="43" t="s">
        <v>119</v>
      </c>
      <c r="AH218">
        <v>4.7</v>
      </c>
      <c r="AI218" s="195">
        <v>0.35</v>
      </c>
      <c r="AJ218">
        <v>4</v>
      </c>
      <c r="AK218">
        <v>276</v>
      </c>
      <c r="AL218">
        <v>114</v>
      </c>
      <c r="AM218"/>
      <c r="AN218" s="50">
        <v>589.26</v>
      </c>
      <c r="AP218" s="79" t="s">
        <v>120</v>
      </c>
      <c r="AQ218" s="79" t="s">
        <v>120</v>
      </c>
      <c r="AR21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0.15880375850413089</v>
      </c>
      <c r="AS21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0.90011361123683453</v>
      </c>
      <c r="AT21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3.999999999999998E-2</v>
      </c>
      <c r="AU21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0.50056805618417255</v>
      </c>
      <c r="AV21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0.1500227222473669</v>
      </c>
      <c r="AW218" s="19">
        <f>IFERROR(Table1[[#This Row],[* Practice Efficiency]]*Table1[[#This Row],[* Load Before Treatment (kg/yr)]],"")</f>
        <v>2.3824172153903159E-2</v>
      </c>
      <c r="AX218" s="100">
        <f>Table1[[#This Row],[Manually entered practice effiency ]]*Table1[[#This Row],[* Load Before Treatment (kg/yr)]]</f>
        <v>0</v>
      </c>
      <c r="AY218" s="43" t="s">
        <v>121</v>
      </c>
      <c r="BA218" s="101">
        <v>1</v>
      </c>
      <c r="BB21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2.3824172153903159E-2</v>
      </c>
      <c r="BC218" s="44"/>
      <c r="BD218" s="44"/>
      <c r="BJ218" s="43"/>
      <c r="BK218" s="45"/>
      <c r="BL218" s="45"/>
      <c r="BM21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1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1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1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1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18" s="19" t="str">
        <f>IFERROR(Table1[[#This Row],[* Prior Practice Efficiency]]*Table1[[#This Row],[* Prior Load Before Treatment (kg/year)]],"")</f>
        <v/>
      </c>
      <c r="BT218" s="19" t="s">
        <v>256</v>
      </c>
    </row>
    <row r="219" spans="1:72">
      <c r="A219" s="43" t="s">
        <v>257</v>
      </c>
      <c r="B219" s="43" t="s">
        <v>220</v>
      </c>
      <c r="C219" s="43" t="s">
        <v>109</v>
      </c>
      <c r="D219" s="43" t="s">
        <v>110</v>
      </c>
      <c r="G219" s="44">
        <v>0.38</v>
      </c>
      <c r="H219" s="44">
        <v>1.1599999999999999</v>
      </c>
      <c r="I219" s="44">
        <v>0.22</v>
      </c>
      <c r="J219" s="43" t="s">
        <v>221</v>
      </c>
      <c r="K219" s="67" t="s">
        <v>159</v>
      </c>
      <c r="N219" s="48"/>
      <c r="O219" s="43" t="s">
        <v>113</v>
      </c>
      <c r="Q219" s="43">
        <v>2012</v>
      </c>
      <c r="U219" s="43" t="s">
        <v>177</v>
      </c>
      <c r="V219" s="43" t="str">
        <f>IFERROR(VLOOKUP(Table1[[#This Row],[LC TMDL Drainage Area]],Dropdowns!$P$3:$Q$23,2,FALSE),"")</f>
        <v>Otter Creek</v>
      </c>
      <c r="W219" s="43" t="s">
        <v>115</v>
      </c>
      <c r="X219" s="43" t="s">
        <v>124</v>
      </c>
      <c r="Y219" s="43">
        <v>0.12</v>
      </c>
      <c r="Z219" s="43" t="s">
        <v>146</v>
      </c>
      <c r="AA219" s="43" t="s">
        <v>118</v>
      </c>
      <c r="AB219" s="93"/>
      <c r="AC219" s="93"/>
      <c r="AD219" s="93"/>
      <c r="AE219" s="93"/>
      <c r="AF219" s="43">
        <v>0.1</v>
      </c>
      <c r="AG219" s="43" t="s">
        <v>119</v>
      </c>
      <c r="AH219" s="195">
        <v>4.7</v>
      </c>
      <c r="AI219" s="195">
        <v>0.11</v>
      </c>
      <c r="AJ219">
        <v>4</v>
      </c>
      <c r="AK219">
        <v>243</v>
      </c>
      <c r="AL219">
        <v>118</v>
      </c>
      <c r="AM219"/>
      <c r="AN219" s="50">
        <v>137.3922</v>
      </c>
      <c r="AP219" s="79" t="s">
        <v>120</v>
      </c>
      <c r="AQ219" s="79" t="s">
        <v>120</v>
      </c>
      <c r="AR21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0.12704300680330471</v>
      </c>
      <c r="AS21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0.29420463662589802</v>
      </c>
      <c r="AT21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1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0.47102318312949004</v>
      </c>
      <c r="AV21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3.8840927325179603E-2</v>
      </c>
      <c r="AW219" s="19">
        <f>IFERROR(Table1[[#This Row],[* Practice Efficiency]]*Table1[[#This Row],[* Load Before Treatment (kg/yr)]],"")</f>
        <v>4.9344681944194562E-3</v>
      </c>
      <c r="AX219" s="100">
        <f>Table1[[#This Row],[Manually entered practice effiency ]]*Table1[[#This Row],[* Load Before Treatment (kg/yr)]]</f>
        <v>0</v>
      </c>
      <c r="AY219" s="43" t="s">
        <v>121</v>
      </c>
      <c r="BA219" s="101">
        <v>1</v>
      </c>
      <c r="BB21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4.9344681944194562E-3</v>
      </c>
      <c r="BC219" s="44"/>
      <c r="BD219" s="44"/>
      <c r="BJ219" s="43"/>
      <c r="BK219" s="45"/>
      <c r="BL219" s="45"/>
      <c r="BM21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1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1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1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1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19" s="19" t="str">
        <f>IFERROR(Table1[[#This Row],[* Prior Practice Efficiency]]*Table1[[#This Row],[* Prior Load Before Treatment (kg/year)]],"")</f>
        <v/>
      </c>
      <c r="BT219" s="19" t="s">
        <v>258</v>
      </c>
    </row>
    <row r="220" spans="1:72">
      <c r="A220" s="43" t="s">
        <v>259</v>
      </c>
      <c r="B220" s="43" t="s">
        <v>220</v>
      </c>
      <c r="C220" s="43" t="s">
        <v>109</v>
      </c>
      <c r="D220" s="43" t="s">
        <v>110</v>
      </c>
      <c r="G220" s="44">
        <v>0.3</v>
      </c>
      <c r="H220" s="44">
        <v>0.76</v>
      </c>
      <c r="I220" s="44">
        <v>0.24</v>
      </c>
      <c r="J220" s="43" t="s">
        <v>221</v>
      </c>
      <c r="K220" s="67" t="s">
        <v>260</v>
      </c>
      <c r="N220" s="48"/>
      <c r="O220" s="43" t="s">
        <v>113</v>
      </c>
      <c r="Q220" s="43">
        <v>2012</v>
      </c>
      <c r="U220" s="43" t="s">
        <v>177</v>
      </c>
      <c r="V220" s="43" t="str">
        <f>IFERROR(VLOOKUP(Table1[[#This Row],[LC TMDL Drainage Area]],Dropdowns!$P$3:$Q$23,2,FALSE),"")</f>
        <v>Otter Creek</v>
      </c>
      <c r="W220" s="43" t="s">
        <v>115</v>
      </c>
      <c r="X220" s="43" t="s">
        <v>124</v>
      </c>
      <c r="Y220" s="43">
        <v>0.13</v>
      </c>
      <c r="Z220" s="43" t="s">
        <v>136</v>
      </c>
      <c r="AA220" s="43" t="s">
        <v>118</v>
      </c>
      <c r="AB220" s="93"/>
      <c r="AC220" s="93"/>
      <c r="AD220" s="93"/>
      <c r="AE220" s="93"/>
      <c r="AF220" s="43">
        <v>0.11</v>
      </c>
      <c r="AG220" s="43" t="s">
        <v>119</v>
      </c>
      <c r="AH220">
        <v>4.7</v>
      </c>
      <c r="AI220">
        <v>0.23</v>
      </c>
      <c r="AJ220">
        <v>4</v>
      </c>
      <c r="AK220">
        <v>262</v>
      </c>
      <c r="AL220">
        <v>188</v>
      </c>
      <c r="AM220"/>
      <c r="AN220" s="50">
        <v>338.66120000000001</v>
      </c>
      <c r="AP220" s="79" t="s">
        <v>120</v>
      </c>
      <c r="AQ220" s="79" t="s">
        <v>120</v>
      </c>
      <c r="AR22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8.9198895703558309E-2</v>
      </c>
      <c r="AS22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0.62413281776926688</v>
      </c>
      <c r="AT22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4.0000000000000008E-2</v>
      </c>
      <c r="AU22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0.12066408884633446</v>
      </c>
      <c r="AV22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9.4826563553853382E-2</v>
      </c>
      <c r="AW220" s="19">
        <f>IFERROR(Table1[[#This Row],[* Practice Efficiency]]*Table1[[#This Row],[* Load Before Treatment (kg/yr)]],"")</f>
        <v>8.4584247523670116E-3</v>
      </c>
      <c r="AX220" s="100">
        <f>Table1[[#This Row],[Manually entered practice effiency ]]*Table1[[#This Row],[* Load Before Treatment (kg/yr)]]</f>
        <v>0</v>
      </c>
      <c r="AY220" s="43" t="s">
        <v>121</v>
      </c>
      <c r="BA220" s="101">
        <v>1</v>
      </c>
      <c r="BB22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8.4584247523670116E-3</v>
      </c>
      <c r="BC220" s="44"/>
      <c r="BD220" s="44"/>
      <c r="BJ220" s="43"/>
      <c r="BK220" s="45"/>
      <c r="BL220" s="45"/>
      <c r="BM22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2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2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2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2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20" s="19" t="str">
        <f>IFERROR(Table1[[#This Row],[* Prior Practice Efficiency]]*Table1[[#This Row],[* Prior Load Before Treatment (kg/year)]],"")</f>
        <v/>
      </c>
      <c r="BT220" s="19" t="s">
        <v>261</v>
      </c>
    </row>
    <row r="221" spans="1:72">
      <c r="A221" s="43" t="s">
        <v>262</v>
      </c>
      <c r="B221" s="43" t="s">
        <v>220</v>
      </c>
      <c r="C221" s="43" t="s">
        <v>109</v>
      </c>
      <c r="D221" s="43" t="s">
        <v>110</v>
      </c>
      <c r="G221" s="44">
        <v>0.3</v>
      </c>
      <c r="H221" s="44">
        <v>0.76</v>
      </c>
      <c r="I221" s="44">
        <v>0.32</v>
      </c>
      <c r="J221" s="43" t="s">
        <v>221</v>
      </c>
      <c r="K221" s="67" t="s">
        <v>260</v>
      </c>
      <c r="N221" s="48"/>
      <c r="O221" s="43" t="s">
        <v>113</v>
      </c>
      <c r="Q221" s="43">
        <v>2012</v>
      </c>
      <c r="U221" s="43" t="s">
        <v>177</v>
      </c>
      <c r="V221" s="43" t="str">
        <f>IFERROR(VLOOKUP(Table1[[#This Row],[LC TMDL Drainage Area]],Dropdowns!$P$3:$Q$23,2,FALSE),"")</f>
        <v>Otter Creek</v>
      </c>
      <c r="W221" s="43" t="s">
        <v>115</v>
      </c>
      <c r="X221" s="43" t="s">
        <v>124</v>
      </c>
      <c r="Y221" s="43">
        <v>0.22</v>
      </c>
      <c r="Z221" s="43" t="s">
        <v>136</v>
      </c>
      <c r="AA221" s="43" t="s">
        <v>118</v>
      </c>
      <c r="AB221" s="93"/>
      <c r="AC221" s="93"/>
      <c r="AD221" s="93"/>
      <c r="AE221" s="93"/>
      <c r="AF221" s="43">
        <v>0.1</v>
      </c>
      <c r="AG221" s="43" t="s">
        <v>119</v>
      </c>
      <c r="AH221">
        <v>4.7</v>
      </c>
      <c r="AI221">
        <v>0.32</v>
      </c>
      <c r="AJ221">
        <v>4</v>
      </c>
      <c r="AK221">
        <v>377</v>
      </c>
      <c r="AL221">
        <v>180</v>
      </c>
      <c r="AM221"/>
      <c r="AN221" s="50">
        <v>721.42720000000008</v>
      </c>
      <c r="AP221" s="79" t="s">
        <v>120</v>
      </c>
      <c r="AQ221" s="79" t="s">
        <v>120</v>
      </c>
      <c r="AR22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0.15095197734448329</v>
      </c>
      <c r="AS22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0.81777351337632054</v>
      </c>
      <c r="AT22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3.999999999999998E-2</v>
      </c>
      <c r="AU22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8.8867566881602481E-2</v>
      </c>
      <c r="AV22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0.13355470267526409</v>
      </c>
      <c r="AW221" s="19">
        <f>IFERROR(Table1[[#This Row],[* Practice Efficiency]]*Table1[[#This Row],[* Load Before Treatment (kg/yr)]],"")</f>
        <v>2.0160346452485666E-2</v>
      </c>
      <c r="AX221" s="100">
        <f>Table1[[#This Row],[Manually entered practice effiency ]]*Table1[[#This Row],[* Load Before Treatment (kg/yr)]]</f>
        <v>0</v>
      </c>
      <c r="AY221" s="43" t="s">
        <v>121</v>
      </c>
      <c r="BA221" s="101">
        <v>1</v>
      </c>
      <c r="BB22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2.0160346452485666E-2</v>
      </c>
      <c r="BC221" s="44"/>
      <c r="BD221" s="44"/>
      <c r="BJ221" s="43"/>
      <c r="BK221" s="45"/>
      <c r="BL221" s="45"/>
      <c r="BM22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2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2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2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2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21" s="19" t="str">
        <f>IFERROR(Table1[[#This Row],[* Prior Practice Efficiency]]*Table1[[#This Row],[* Prior Load Before Treatment (kg/year)]],"")</f>
        <v/>
      </c>
      <c r="BT221" s="19" t="s">
        <v>263</v>
      </c>
    </row>
    <row r="222" spans="1:72" s="166" customFormat="1">
      <c r="A222" s="43" t="s">
        <v>264</v>
      </c>
      <c r="B222" s="43" t="s">
        <v>220</v>
      </c>
      <c r="C222" s="43" t="s">
        <v>109</v>
      </c>
      <c r="D222" s="43" t="s">
        <v>110</v>
      </c>
      <c r="E222" s="47"/>
      <c r="F222" s="47"/>
      <c r="G222" s="44">
        <v>0.3</v>
      </c>
      <c r="H222" s="44">
        <v>0.76</v>
      </c>
      <c r="I222" s="44">
        <v>0.2</v>
      </c>
      <c r="J222" s="43" t="s">
        <v>221</v>
      </c>
      <c r="K222" s="67" t="s">
        <v>260</v>
      </c>
      <c r="L222" s="43"/>
      <c r="M222" s="43"/>
      <c r="N222" s="48"/>
      <c r="O222" s="43" t="s">
        <v>113</v>
      </c>
      <c r="P222" s="43"/>
      <c r="Q222" s="43">
        <v>2012</v>
      </c>
      <c r="R222" s="43"/>
      <c r="S222" s="43"/>
      <c r="T222" s="43"/>
      <c r="U222" s="43" t="s">
        <v>177</v>
      </c>
      <c r="V222" s="43" t="str">
        <f>IFERROR(VLOOKUP(Table1[[#This Row],[LC TMDL Drainage Area]],Dropdowns!$P$3:$Q$23,2,FALSE),"")</f>
        <v>Otter Creek</v>
      </c>
      <c r="W222" s="43" t="s">
        <v>115</v>
      </c>
      <c r="X222" s="43" t="s">
        <v>124</v>
      </c>
      <c r="Y222" s="43">
        <v>0.12</v>
      </c>
      <c r="Z222" s="43" t="s">
        <v>146</v>
      </c>
      <c r="AA222" s="43" t="s">
        <v>118</v>
      </c>
      <c r="AB222" s="93"/>
      <c r="AC222" s="93"/>
      <c r="AD222" s="93"/>
      <c r="AE222" s="93"/>
      <c r="AF222" s="43">
        <v>0.08</v>
      </c>
      <c r="AG222" s="43" t="s">
        <v>119</v>
      </c>
      <c r="AH222">
        <v>4.7</v>
      </c>
      <c r="AI222">
        <v>0.4</v>
      </c>
      <c r="AJ222">
        <v>4</v>
      </c>
      <c r="AK222">
        <v>197</v>
      </c>
      <c r="AL222">
        <v>182</v>
      </c>
      <c r="AM222"/>
      <c r="AN222" s="50">
        <v>496.44000000000011</v>
      </c>
      <c r="AO222" s="43"/>
      <c r="AP222" s="79" t="s">
        <v>120</v>
      </c>
      <c r="AQ222" s="79" t="s">
        <v>120</v>
      </c>
      <c r="AR22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0.12704300680330471</v>
      </c>
      <c r="AS22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0.96538768703040845</v>
      </c>
      <c r="AT22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3.999999999999998E-2</v>
      </c>
      <c r="AU22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0.82693843515204224</v>
      </c>
      <c r="AV22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0.16307753740608166</v>
      </c>
      <c r="AW222" s="19">
        <f>IFERROR(Table1[[#This Row],[* Practice Efficiency]]*Table1[[#This Row],[* Load Before Treatment (kg/yr)]],"")</f>
        <v>2.0717860694147012E-2</v>
      </c>
      <c r="AX222" s="100">
        <f>Table1[[#This Row],[Manually entered practice effiency ]]*Table1[[#This Row],[* Load Before Treatment (kg/yr)]]</f>
        <v>0</v>
      </c>
      <c r="AY222" s="43" t="s">
        <v>121</v>
      </c>
      <c r="AZ222" s="44"/>
      <c r="BA222" s="101">
        <v>1</v>
      </c>
      <c r="BB22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2.0717860694147012E-2</v>
      </c>
      <c r="BC222" s="44"/>
      <c r="BD222" s="44"/>
      <c r="BE222" s="44"/>
      <c r="BF222" s="44"/>
      <c r="BG222" s="44"/>
      <c r="BH222" s="44"/>
      <c r="BI222" s="44"/>
      <c r="BJ222" s="43"/>
      <c r="BK222" s="45"/>
      <c r="BL222" s="45"/>
      <c r="BM22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2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2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2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2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22" s="19" t="str">
        <f>IFERROR(Table1[[#This Row],[* Prior Practice Efficiency]]*Table1[[#This Row],[* Prior Load Before Treatment (kg/year)]],"")</f>
        <v/>
      </c>
      <c r="BS222" s="19"/>
      <c r="BT222" s="19" t="s">
        <v>265</v>
      </c>
    </row>
    <row r="223" spans="1:72">
      <c r="A223" s="43" t="s">
        <v>266</v>
      </c>
      <c r="B223" s="43" t="s">
        <v>220</v>
      </c>
      <c r="C223" s="43" t="s">
        <v>109</v>
      </c>
      <c r="D223" s="43" t="s">
        <v>110</v>
      </c>
      <c r="G223" s="44">
        <v>0.51</v>
      </c>
      <c r="H223" s="44">
        <v>1.2</v>
      </c>
      <c r="I223" s="44">
        <v>0.3</v>
      </c>
      <c r="J223" s="43" t="s">
        <v>221</v>
      </c>
      <c r="K223" s="67" t="s">
        <v>267</v>
      </c>
      <c r="N223" s="48"/>
      <c r="O223" s="43" t="s">
        <v>113</v>
      </c>
      <c r="Q223" s="43">
        <v>2012</v>
      </c>
      <c r="U223" s="43" t="s">
        <v>177</v>
      </c>
      <c r="V223" s="43" t="str">
        <f>IFERROR(VLOOKUP(Table1[[#This Row],[LC TMDL Drainage Area]],Dropdowns!$P$3:$Q$23,2,FALSE),"")</f>
        <v>Otter Creek</v>
      </c>
      <c r="W223" s="43" t="s">
        <v>115</v>
      </c>
      <c r="X223" s="43" t="s">
        <v>124</v>
      </c>
      <c r="Y223" s="43">
        <v>0.2</v>
      </c>
      <c r="Z223" s="43" t="s">
        <v>241</v>
      </c>
      <c r="AA223" s="43" t="s">
        <v>118</v>
      </c>
      <c r="AB223" s="93"/>
      <c r="AC223" s="93"/>
      <c r="AD223" s="93"/>
      <c r="AE223" s="93"/>
      <c r="AF223" s="43">
        <v>0.1</v>
      </c>
      <c r="AG223" s="43" t="s">
        <v>119</v>
      </c>
      <c r="AH223">
        <v>4.7</v>
      </c>
      <c r="AI223">
        <v>0.33</v>
      </c>
      <c r="AJ223">
        <v>4</v>
      </c>
      <c r="AK223">
        <v>387</v>
      </c>
      <c r="AL223">
        <v>221</v>
      </c>
      <c r="AM223"/>
      <c r="AN223" s="50">
        <v>768.81420000000003</v>
      </c>
      <c r="AP223" s="79" t="s">
        <v>196</v>
      </c>
      <c r="AQ223" s="79" t="s">
        <v>196</v>
      </c>
      <c r="AR22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9.9382278039575209E-2</v>
      </c>
      <c r="AS22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0.93601360963518665</v>
      </c>
      <c r="AT22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3.999999999999998E-2</v>
      </c>
      <c r="AU22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0.68006804817593314</v>
      </c>
      <c r="AV22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0.15720272192703733</v>
      </c>
      <c r="AW223" s="19">
        <f>IFERROR(Table1[[#This Row],[* Practice Efficiency]]*Table1[[#This Row],[* Load Before Treatment (kg/yr)]],"")</f>
        <v>1.5623164619130849E-2</v>
      </c>
      <c r="AX223" s="100">
        <f>Table1[[#This Row],[Manually entered practice effiency ]]*Table1[[#This Row],[* Load Before Treatment (kg/yr)]]</f>
        <v>0</v>
      </c>
      <c r="AY223" s="43" t="s">
        <v>121</v>
      </c>
      <c r="BA223" s="101">
        <v>1</v>
      </c>
      <c r="BB22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1.5623164619130849E-2</v>
      </c>
      <c r="BC223" s="44"/>
      <c r="BD223" s="44"/>
      <c r="BJ223" s="43"/>
      <c r="BK223" s="45"/>
      <c r="BL223" s="45"/>
      <c r="BM22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2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2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2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2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23" s="19" t="str">
        <f>IFERROR(Table1[[#This Row],[* Prior Practice Efficiency]]*Table1[[#This Row],[* Prior Load Before Treatment (kg/year)]],"")</f>
        <v/>
      </c>
      <c r="BT223" s="19" t="s">
        <v>268</v>
      </c>
    </row>
    <row r="224" spans="1:72">
      <c r="B224" s="43" t="s">
        <v>220</v>
      </c>
      <c r="C224" s="43" t="s">
        <v>109</v>
      </c>
      <c r="D224" s="43" t="s">
        <v>110</v>
      </c>
      <c r="G224" s="44">
        <v>0.51</v>
      </c>
      <c r="H224" s="44">
        <v>1.2</v>
      </c>
      <c r="I224" s="44">
        <v>0.95</v>
      </c>
      <c r="J224" s="43" t="s">
        <v>221</v>
      </c>
      <c r="K224" s="67" t="s">
        <v>267</v>
      </c>
      <c r="N224" s="48"/>
      <c r="O224" s="43" t="s">
        <v>113</v>
      </c>
      <c r="Q224" s="43">
        <v>2012</v>
      </c>
      <c r="U224" s="43" t="s">
        <v>177</v>
      </c>
      <c r="V224" s="43" t="str">
        <f>IFERROR(VLOOKUP(Table1[[#This Row],[LC TMDL Drainage Area]],Dropdowns!$P$3:$Q$23,2,FALSE),"")</f>
        <v>Otter Creek</v>
      </c>
      <c r="W224" s="43" t="s">
        <v>115</v>
      </c>
      <c r="X224" s="43" t="s">
        <v>124</v>
      </c>
      <c r="Y224" s="43">
        <v>0.7</v>
      </c>
      <c r="Z224" s="43" t="s">
        <v>241</v>
      </c>
      <c r="AA224" s="43" t="s">
        <v>118</v>
      </c>
      <c r="AB224" s="93"/>
      <c r="AC224" s="93"/>
      <c r="AD224" s="93"/>
      <c r="AE224" s="93"/>
      <c r="AF224" s="43">
        <v>0.25</v>
      </c>
      <c r="AG224" s="43" t="s">
        <v>119</v>
      </c>
      <c r="AH224">
        <v>4.7</v>
      </c>
      <c r="AI224">
        <v>0.76</v>
      </c>
      <c r="AJ224">
        <v>3</v>
      </c>
      <c r="AK224">
        <v>197</v>
      </c>
      <c r="AL224">
        <v>190</v>
      </c>
      <c r="AM224"/>
      <c r="AN224" s="50">
        <v>1045.0455999999999</v>
      </c>
      <c r="AP224" s="79" t="s">
        <v>196</v>
      </c>
      <c r="AQ224" s="79" t="s">
        <v>196</v>
      </c>
      <c r="AR22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0.34783797313851317</v>
      </c>
      <c r="AS22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0.39515530422335227</v>
      </c>
      <c r="AT22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2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0.97577652111676128</v>
      </c>
      <c r="AV22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5.9031060844670441E-2</v>
      </c>
      <c r="AW224" s="19">
        <f>IFERROR(Table1[[#This Row],[* Practice Efficiency]]*Table1[[#This Row],[* Load Before Treatment (kg/yr)]],"")</f>
        <v>2.0533244556426414E-2</v>
      </c>
      <c r="AX224" s="100">
        <f>Table1[[#This Row],[Manually entered practice effiency ]]*Table1[[#This Row],[* Load Before Treatment (kg/yr)]]</f>
        <v>0</v>
      </c>
      <c r="AY224" s="43" t="s">
        <v>121</v>
      </c>
      <c r="BA224" s="101">
        <v>1</v>
      </c>
      <c r="BB22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2.0533244556426414E-2</v>
      </c>
      <c r="BC224" s="44"/>
      <c r="BD224" s="44"/>
      <c r="BJ224" s="43"/>
      <c r="BK224" s="45"/>
      <c r="BL224" s="45"/>
      <c r="BM22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2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2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2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2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24" s="19" t="str">
        <f>IFERROR(Table1[[#This Row],[* Prior Practice Efficiency]]*Table1[[#This Row],[* Prior Load Before Treatment (kg/year)]],"")</f>
        <v/>
      </c>
      <c r="BT224" s="19" t="s">
        <v>269</v>
      </c>
    </row>
    <row r="225" spans="1:73">
      <c r="A225" s="43" t="s">
        <v>270</v>
      </c>
      <c r="B225" s="43" t="s">
        <v>220</v>
      </c>
      <c r="C225" s="43" t="s">
        <v>109</v>
      </c>
      <c r="D225" s="43" t="s">
        <v>110</v>
      </c>
      <c r="G225" s="44">
        <v>0.51</v>
      </c>
      <c r="H225" s="44">
        <v>1.2</v>
      </c>
      <c r="I225" s="44">
        <v>0.13</v>
      </c>
      <c r="J225" s="43" t="s">
        <v>221</v>
      </c>
      <c r="K225" s="67" t="s">
        <v>267</v>
      </c>
      <c r="N225" s="48"/>
      <c r="O225" s="43" t="s">
        <v>113</v>
      </c>
      <c r="Q225" s="43">
        <v>2012</v>
      </c>
      <c r="U225" s="43" t="s">
        <v>177</v>
      </c>
      <c r="V225" s="43" t="str">
        <f>IFERROR(VLOOKUP(Table1[[#This Row],[LC TMDL Drainage Area]],Dropdowns!$P$3:$Q$23,2,FALSE),"")</f>
        <v>Otter Creek</v>
      </c>
      <c r="W225" s="43" t="s">
        <v>115</v>
      </c>
      <c r="X225" s="43" t="s">
        <v>124</v>
      </c>
      <c r="Y225" s="43">
        <v>0.08</v>
      </c>
      <c r="Z225" s="43" t="s">
        <v>241</v>
      </c>
      <c r="AA225" s="43" t="s">
        <v>118</v>
      </c>
      <c r="AB225" s="93"/>
      <c r="AC225" s="93"/>
      <c r="AD225" s="93"/>
      <c r="AE225" s="93"/>
      <c r="AF225" s="43">
        <v>0.05</v>
      </c>
      <c r="AG225" s="43" t="s">
        <v>119</v>
      </c>
      <c r="AH225">
        <v>4.7</v>
      </c>
      <c r="AI225">
        <v>0.25</v>
      </c>
      <c r="AJ225">
        <v>4</v>
      </c>
      <c r="AK225">
        <v>262</v>
      </c>
      <c r="AL225">
        <v>163</v>
      </c>
      <c r="AM225"/>
      <c r="AN225" s="50">
        <v>373.35</v>
      </c>
      <c r="AP225" s="79" t="s">
        <v>196</v>
      </c>
      <c r="AQ225" s="79" t="s">
        <v>196</v>
      </c>
      <c r="AR22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3.9752911215830078E-2</v>
      </c>
      <c r="AS22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1.081171063601263</v>
      </c>
      <c r="AT22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7.9999999999999988E-2</v>
      </c>
      <c r="AU22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0.16234212720252605</v>
      </c>
      <c r="AV22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0.18298737017620209</v>
      </c>
      <c r="AW225" s="19">
        <f>IFERROR(Table1[[#This Row],[* Practice Efficiency]]*Table1[[#This Row],[* Load Before Treatment (kg/yr)]],"")</f>
        <v>7.2742806802327947E-3</v>
      </c>
      <c r="AX225" s="100">
        <f>Table1[[#This Row],[Manually entered practice effiency ]]*Table1[[#This Row],[* Load Before Treatment (kg/yr)]]</f>
        <v>0</v>
      </c>
      <c r="AY225" s="43" t="s">
        <v>121</v>
      </c>
      <c r="BA225" s="101">
        <v>1</v>
      </c>
      <c r="BB22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7.2742806802327947E-3</v>
      </c>
      <c r="BC225" s="44"/>
      <c r="BD225" s="44"/>
      <c r="BJ225" s="43"/>
      <c r="BK225" s="45"/>
      <c r="BL225" s="45"/>
      <c r="BM22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2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2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2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2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25" s="19" t="str">
        <f>IFERROR(Table1[[#This Row],[* Prior Practice Efficiency]]*Table1[[#This Row],[* Prior Load Before Treatment (kg/year)]],"")</f>
        <v/>
      </c>
      <c r="BT225" s="19" t="s">
        <v>271</v>
      </c>
    </row>
    <row r="226" spans="1:73">
      <c r="B226" s="43" t="s">
        <v>658</v>
      </c>
      <c r="C226" s="43" t="s">
        <v>109</v>
      </c>
      <c r="D226" s="43" t="s">
        <v>110</v>
      </c>
      <c r="E226" s="47">
        <v>44.444935728860642</v>
      </c>
      <c r="F226" s="47">
        <v>-73.211521846612357</v>
      </c>
      <c r="G226" s="44">
        <v>0</v>
      </c>
      <c r="H226" s="44">
        <v>0</v>
      </c>
      <c r="I226" s="44">
        <v>6.510942</v>
      </c>
      <c r="J226" s="43" t="s">
        <v>162</v>
      </c>
      <c r="K226" s="43" t="s">
        <v>162</v>
      </c>
      <c r="N226" s="48"/>
      <c r="O226" s="43" t="s">
        <v>589</v>
      </c>
      <c r="P226" s="43" t="s">
        <v>656</v>
      </c>
      <c r="T226" s="43" t="s">
        <v>645</v>
      </c>
      <c r="U226" s="43" t="s">
        <v>499</v>
      </c>
      <c r="V226" s="43" t="s">
        <v>500</v>
      </c>
      <c r="W226" s="43" t="s">
        <v>115</v>
      </c>
      <c r="X226" s="43" t="s">
        <v>528</v>
      </c>
      <c r="Y226" s="43">
        <v>2.9227939999999997</v>
      </c>
      <c r="Z226" s="43" t="s">
        <v>146</v>
      </c>
      <c r="AA226" s="43" t="s">
        <v>118</v>
      </c>
      <c r="AF226" s="43">
        <v>3.5881480000000003</v>
      </c>
      <c r="AG226" s="43" t="s">
        <v>119</v>
      </c>
      <c r="AN226" s="50">
        <v>19689.12</v>
      </c>
      <c r="AP226" s="19"/>
      <c r="AQ226" s="19"/>
      <c r="AR22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2.8614786811409618</v>
      </c>
      <c r="AS22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1.2877321777247739</v>
      </c>
      <c r="AT22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1.0000000000000009E-2</v>
      </c>
      <c r="AU22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0.57546435544954777</v>
      </c>
      <c r="AV22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0.11575464355449548</v>
      </c>
      <c r="AW226" s="19">
        <f>IFERROR(Table1[[#This Row],[* Practice Efficiency]]*Table1[[#This Row],[* Load Before Treatment (kg/yr)]],"")</f>
        <v>0.33122944477425986</v>
      </c>
      <c r="AX226" s="100">
        <v>0</v>
      </c>
      <c r="AY226" s="44" t="s">
        <v>121</v>
      </c>
      <c r="BA226" s="101">
        <v>1</v>
      </c>
      <c r="BB22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0.33122944477425986</v>
      </c>
      <c r="BC226" s="44"/>
      <c r="BD226" s="44"/>
      <c r="BJ226" s="43"/>
      <c r="BK226" s="45"/>
      <c r="BL226" s="45"/>
      <c r="BM22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2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2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2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2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26" s="19" t="str">
        <f>IFERROR(Table1[[#This Row],[* Prior Practice Efficiency]]*Table1[[#This Row],[* Prior Load Before Treatment (kg/year)]],"")</f>
        <v/>
      </c>
      <c r="BT226" s="19"/>
    </row>
    <row r="227" spans="1:73">
      <c r="B227" s="43" t="s">
        <v>638</v>
      </c>
      <c r="C227" s="43" t="s">
        <v>109</v>
      </c>
      <c r="D227" s="43" t="s">
        <v>110</v>
      </c>
      <c r="E227" s="47">
        <v>43.587445000000002</v>
      </c>
      <c r="F227" s="47">
        <v>-72.967012999999994</v>
      </c>
      <c r="G227" s="44">
        <v>0</v>
      </c>
      <c r="H227" s="44">
        <v>0</v>
      </c>
      <c r="I227" s="44">
        <v>23.099651999999999</v>
      </c>
      <c r="J227" s="43" t="s">
        <v>162</v>
      </c>
      <c r="K227" s="43" t="s">
        <v>162</v>
      </c>
      <c r="N227" s="48"/>
      <c r="O227" s="43" t="s">
        <v>589</v>
      </c>
      <c r="P227" s="43">
        <v>2032</v>
      </c>
      <c r="T227" s="43" t="s">
        <v>639</v>
      </c>
      <c r="U227" s="43" t="s">
        <v>177</v>
      </c>
      <c r="V227" s="43" t="s">
        <v>177</v>
      </c>
      <c r="W227" s="43" t="s">
        <v>115</v>
      </c>
      <c r="X227" s="43" t="s">
        <v>165</v>
      </c>
      <c r="Y227" s="43">
        <v>10.953163</v>
      </c>
      <c r="Z227" s="43" t="s">
        <v>136</v>
      </c>
      <c r="AA227" s="43" t="s">
        <v>118</v>
      </c>
      <c r="AF227" s="43">
        <v>12.146488999999999</v>
      </c>
      <c r="AG227" s="43" t="s">
        <v>119</v>
      </c>
      <c r="AN227" s="50">
        <v>35937</v>
      </c>
      <c r="AP227" s="19"/>
      <c r="AQ227" s="19"/>
      <c r="AR22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7.515461877392875</v>
      </c>
      <c r="AS22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0.7347900776239612</v>
      </c>
      <c r="AT22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5.9999999999999942E-2</v>
      </c>
      <c r="AU22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0.6739503881198059</v>
      </c>
      <c r="AV22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0.45043702328718827</v>
      </c>
      <c r="AW227" s="19">
        <f>IFERROR(Table1[[#This Row],[* Practice Efficiency]]*Table1[[#This Row],[* Load Before Treatment (kg/yr)]],"")</f>
        <v>3.3852422766811903</v>
      </c>
      <c r="AX227" s="100">
        <v>0</v>
      </c>
      <c r="AY227" s="44" t="s">
        <v>121</v>
      </c>
      <c r="BA227" s="101">
        <v>1</v>
      </c>
      <c r="BB22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3.3852422766811903</v>
      </c>
      <c r="BC227" s="44"/>
      <c r="BD227" s="44"/>
      <c r="BJ227" s="43"/>
      <c r="BK227" s="45"/>
      <c r="BL227" s="45"/>
      <c r="BM22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2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2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2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2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27" s="19" t="str">
        <f>IFERROR(Table1[[#This Row],[* Prior Practice Efficiency]]*Table1[[#This Row],[* Prior Load Before Treatment (kg/year)]],"")</f>
        <v/>
      </c>
      <c r="BT227" s="19"/>
    </row>
    <row r="228" spans="1:73">
      <c r="A228" s="43" t="s">
        <v>320</v>
      </c>
      <c r="B228" s="43" t="s">
        <v>321</v>
      </c>
      <c r="C228" s="43" t="s">
        <v>109</v>
      </c>
      <c r="D228" s="43" t="s">
        <v>110</v>
      </c>
      <c r="G228" s="44">
        <v>0</v>
      </c>
      <c r="H228" s="44">
        <v>0.3</v>
      </c>
      <c r="I228" s="44">
        <v>0.15</v>
      </c>
      <c r="J228" s="43" t="s">
        <v>322</v>
      </c>
      <c r="K228" s="67" t="s">
        <v>148</v>
      </c>
      <c r="N228" s="48"/>
      <c r="O228" s="43" t="s">
        <v>113</v>
      </c>
      <c r="Q228" s="43">
        <v>2013</v>
      </c>
      <c r="U228" s="43" t="s">
        <v>134</v>
      </c>
      <c r="V228" s="43" t="str">
        <f>IFERROR(VLOOKUP(Table1[[#This Row],[LC TMDL Drainage Area]],Dropdowns!$P$3:$Q$23,2,FALSE),"")</f>
        <v>Main Lake</v>
      </c>
      <c r="W228" s="43" t="s">
        <v>115</v>
      </c>
      <c r="X228" s="43" t="s">
        <v>124</v>
      </c>
      <c r="Y228" s="43">
        <v>0.01</v>
      </c>
      <c r="Z228" s="43" t="s">
        <v>136</v>
      </c>
      <c r="AA228" s="43" t="s">
        <v>118</v>
      </c>
      <c r="AB228" s="93"/>
      <c r="AC228" s="93"/>
      <c r="AD228" s="93"/>
      <c r="AE228" s="93"/>
      <c r="AF228" s="43">
        <v>0.14000000000000001</v>
      </c>
      <c r="AG228" s="43" t="s">
        <v>119</v>
      </c>
      <c r="AH228">
        <v>2</v>
      </c>
      <c r="AI228">
        <v>0.04</v>
      </c>
      <c r="AJ228">
        <v>9</v>
      </c>
      <c r="AK228">
        <v>108</v>
      </c>
      <c r="AL228">
        <v>63.12</v>
      </c>
      <c r="AM228"/>
      <c r="AN228" s="50">
        <v>10.1952</v>
      </c>
      <c r="AP228" s="79" t="s">
        <v>196</v>
      </c>
      <c r="AQ228" s="79" t="s">
        <v>196</v>
      </c>
      <c r="AR22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6.5678045594428714E-3</v>
      </c>
      <c r="AS22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0.16415944543072303</v>
      </c>
      <c r="AT22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22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0.64159445430723017</v>
      </c>
      <c r="AV22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1.9247833629216907E-2</v>
      </c>
      <c r="AW228" s="19">
        <f>IFERROR(Table1[[#This Row],[* Practice Efficiency]]*Table1[[#This Row],[* Load Before Treatment (kg/yr)]],"")</f>
        <v>1.2641600946936864E-4</v>
      </c>
      <c r="AX228" s="100">
        <f>Table1[[#This Row],[Manually entered practice effiency ]]*Table1[[#This Row],[* Load Before Treatment (kg/yr)]]</f>
        <v>0</v>
      </c>
      <c r="AY228" s="43" t="s">
        <v>121</v>
      </c>
      <c r="BA228" s="101">
        <v>1</v>
      </c>
      <c r="BB228" s="206">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1.2641600946936864E-4</v>
      </c>
      <c r="BC228" s="44"/>
      <c r="BD228" s="44"/>
      <c r="BJ228" s="43"/>
      <c r="BK228" s="45"/>
      <c r="BL228" s="45"/>
      <c r="BM22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2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2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2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2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28" s="19" t="str">
        <f>IFERROR(Table1[[#This Row],[* Prior Practice Efficiency]]*Table1[[#This Row],[* Prior Load Before Treatment (kg/year)]],"")</f>
        <v/>
      </c>
      <c r="BT228" s="19"/>
    </row>
    <row r="229" spans="1:73">
      <c r="A229" s="43" t="s">
        <v>323</v>
      </c>
      <c r="B229" s="43" t="s">
        <v>321</v>
      </c>
      <c r="C229" s="43" t="s">
        <v>109</v>
      </c>
      <c r="D229" s="43" t="s">
        <v>110</v>
      </c>
      <c r="G229" s="44">
        <v>0</v>
      </c>
      <c r="H229" s="44">
        <v>0.34</v>
      </c>
      <c r="I229" s="44">
        <v>7.0000000000000007E-2</v>
      </c>
      <c r="J229" s="43" t="s">
        <v>322</v>
      </c>
      <c r="K229" s="67" t="s">
        <v>150</v>
      </c>
      <c r="N229" s="48"/>
      <c r="O229" s="43" t="s">
        <v>113</v>
      </c>
      <c r="Q229" s="43">
        <v>2013</v>
      </c>
      <c r="U229" s="43" t="s">
        <v>134</v>
      </c>
      <c r="V229" s="43" t="str">
        <f>IFERROR(VLOOKUP(Table1[[#This Row],[LC TMDL Drainage Area]],Dropdowns!$P$3:$Q$23,2,FALSE),"")</f>
        <v>Main Lake</v>
      </c>
      <c r="W229" s="43" t="s">
        <v>115</v>
      </c>
      <c r="X229" s="43" t="s">
        <v>124</v>
      </c>
      <c r="Y229" s="43">
        <v>0.01</v>
      </c>
      <c r="Z229" s="43" t="s">
        <v>136</v>
      </c>
      <c r="AA229" s="43" t="s">
        <v>118</v>
      </c>
      <c r="AB229" s="93"/>
      <c r="AC229" s="93"/>
      <c r="AD229" s="93"/>
      <c r="AE229" s="93"/>
      <c r="AF229" s="43">
        <v>0.06</v>
      </c>
      <c r="AG229" s="43" t="s">
        <v>119</v>
      </c>
      <c r="AH229">
        <v>2</v>
      </c>
      <c r="AI229">
        <v>0.04</v>
      </c>
      <c r="AJ229">
        <v>3</v>
      </c>
      <c r="AK229">
        <v>175</v>
      </c>
      <c r="AL229">
        <v>63.61</v>
      </c>
      <c r="AM229"/>
      <c r="AN229" s="50">
        <v>14.84</v>
      </c>
      <c r="AP229" s="79" t="s">
        <v>120</v>
      </c>
      <c r="AQ229" s="79" t="s">
        <v>120</v>
      </c>
      <c r="AR22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6.5678045594428714E-3</v>
      </c>
      <c r="AS22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0.27490242185016828</v>
      </c>
      <c r="AT22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2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0.37451210925084133</v>
      </c>
      <c r="AV22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3.4980484370033649E-2</v>
      </c>
      <c r="AW229" s="19">
        <f>IFERROR(Table1[[#This Row],[* Practice Efficiency]]*Table1[[#This Row],[* Load Before Treatment (kg/yr)]],"")</f>
        <v>2.297449847370271E-4</v>
      </c>
      <c r="AX229" s="100">
        <f>Table1[[#This Row],[Manually entered practice effiency ]]*Table1[[#This Row],[* Load Before Treatment (kg/yr)]]</f>
        <v>0</v>
      </c>
      <c r="AY229" s="43" t="s">
        <v>121</v>
      </c>
      <c r="BA229" s="101">
        <v>1</v>
      </c>
      <c r="BB229" s="206">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2.297449847370271E-4</v>
      </c>
      <c r="BC229" s="44"/>
      <c r="BD229" s="44"/>
      <c r="BJ229" s="43"/>
      <c r="BK229" s="45"/>
      <c r="BL229" s="45"/>
      <c r="BM22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2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2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2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2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29" s="19" t="str">
        <f>IFERROR(Table1[[#This Row],[* Prior Practice Efficiency]]*Table1[[#This Row],[* Prior Load Before Treatment (kg/year)]],"")</f>
        <v/>
      </c>
      <c r="BT229" s="19"/>
      <c r="BU229" s="72"/>
    </row>
    <row r="230" spans="1:73">
      <c r="A230" s="43" t="s">
        <v>324</v>
      </c>
      <c r="B230" s="43" t="s">
        <v>321</v>
      </c>
      <c r="C230" s="43" t="s">
        <v>109</v>
      </c>
      <c r="D230" s="43" t="s">
        <v>110</v>
      </c>
      <c r="G230" s="44">
        <v>0</v>
      </c>
      <c r="H230" s="44">
        <v>0.34</v>
      </c>
      <c r="J230" s="43" t="s">
        <v>322</v>
      </c>
      <c r="K230" s="67" t="s">
        <v>150</v>
      </c>
      <c r="N230" s="48"/>
      <c r="O230" s="43" t="s">
        <v>113</v>
      </c>
      <c r="Q230" s="43">
        <v>2013</v>
      </c>
      <c r="U230" s="43" t="s">
        <v>134</v>
      </c>
      <c r="V230" s="43" t="str">
        <f>IFERROR(VLOOKUP(Table1[[#This Row],[LC TMDL Drainage Area]],Dropdowns!$P$3:$Q$23,2,FALSE),"")</f>
        <v>Main Lake</v>
      </c>
      <c r="W230" s="43" t="s">
        <v>115</v>
      </c>
      <c r="X230" s="43" t="s">
        <v>141</v>
      </c>
      <c r="Y230" s="43">
        <v>0.03</v>
      </c>
      <c r="Z230" s="43" t="s">
        <v>241</v>
      </c>
      <c r="AA230" s="43" t="s">
        <v>118</v>
      </c>
      <c r="AB230" s="93"/>
      <c r="AC230" s="93"/>
      <c r="AD230" s="93"/>
      <c r="AE230" s="93"/>
      <c r="AF230" s="43">
        <v>1.0000000000000001E-5</v>
      </c>
      <c r="AG230" s="43" t="s">
        <v>119</v>
      </c>
      <c r="AH230"/>
      <c r="AI230"/>
      <c r="AJ230"/>
      <c r="AK230"/>
      <c r="AL230"/>
      <c r="AM230">
        <v>0.74</v>
      </c>
      <c r="AN230" s="50">
        <v>0</v>
      </c>
      <c r="AP230" s="79" t="s">
        <v>120</v>
      </c>
      <c r="AQ230" s="79" t="s">
        <v>120</v>
      </c>
      <c r="AR23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1.4342111310267885E-2</v>
      </c>
      <c r="AS23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230"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23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3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30" s="19" t="str">
        <f>IFERROR(Table1[[#This Row],[* Practice Efficiency]]*Table1[[#This Row],[* Load Before Treatment (kg/yr)]],"")</f>
        <v/>
      </c>
      <c r="AX230" s="100">
        <f>Table1[[#This Row],[Manually entered practice effiency ]]*Table1[[#This Row],[* Load Before Treatment (kg/yr)]]</f>
        <v>1.0613162369598235E-2</v>
      </c>
      <c r="AY230" s="43" t="s">
        <v>121</v>
      </c>
      <c r="BA230" s="101">
        <v>1</v>
      </c>
      <c r="BB23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1.0613162369598235E-2</v>
      </c>
      <c r="BC230" s="44"/>
      <c r="BD230" s="44"/>
      <c r="BJ230" s="43"/>
      <c r="BK230" s="45"/>
      <c r="BL230" s="45"/>
      <c r="BM23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3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3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3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3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30" s="19" t="str">
        <f>IFERROR(Table1[[#This Row],[* Prior Practice Efficiency]]*Table1[[#This Row],[* Prior Load Before Treatment (kg/year)]],"")</f>
        <v/>
      </c>
      <c r="BT230" s="19" t="s">
        <v>325</v>
      </c>
    </row>
    <row r="231" spans="1:73">
      <c r="B231" s="43" t="s">
        <v>607</v>
      </c>
      <c r="C231" s="43" t="s">
        <v>109</v>
      </c>
      <c r="D231" s="43" t="s">
        <v>110</v>
      </c>
      <c r="E231" s="47">
        <v>44.800376599312969</v>
      </c>
      <c r="F231" s="47">
        <v>-73.083864986905169</v>
      </c>
      <c r="G231" s="44">
        <v>0</v>
      </c>
      <c r="H231" s="44">
        <v>0</v>
      </c>
      <c r="I231" s="44">
        <v>21.118807</v>
      </c>
      <c r="J231" s="43" t="s">
        <v>162</v>
      </c>
      <c r="K231" s="43" t="s">
        <v>162</v>
      </c>
      <c r="N231" s="48"/>
      <c r="O231" s="43" t="s">
        <v>605</v>
      </c>
      <c r="P231" s="43">
        <v>2022</v>
      </c>
      <c r="T231" s="43" t="s">
        <v>328</v>
      </c>
      <c r="U231" s="43" t="s">
        <v>164</v>
      </c>
      <c r="V231" s="43" t="s">
        <v>527</v>
      </c>
      <c r="W231" s="43" t="s">
        <v>115</v>
      </c>
      <c r="X231" s="43" t="s">
        <v>528</v>
      </c>
      <c r="Y231" s="43">
        <v>4.886171</v>
      </c>
      <c r="Z231" s="43" t="s">
        <v>136</v>
      </c>
      <c r="AA231" s="43" t="s">
        <v>118</v>
      </c>
      <c r="AF231" s="43">
        <v>16.232635999999999</v>
      </c>
      <c r="AG231" s="43" t="s">
        <v>119</v>
      </c>
      <c r="AN231" s="50">
        <v>15681.599999999999</v>
      </c>
      <c r="AP231" s="19"/>
      <c r="AQ231" s="19"/>
      <c r="AR23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3.5233839410574537</v>
      </c>
      <c r="AS23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0.57336536761641232</v>
      </c>
      <c r="AT23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9.999999999999995E-3</v>
      </c>
      <c r="AU23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0.86682683808206173</v>
      </c>
      <c r="AV23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6.8668268380820616E-2</v>
      </c>
      <c r="AW231" s="19">
        <f>IFERROR(Table1[[#This Row],[* Practice Efficiency]]*Table1[[#This Row],[* Load Before Treatment (kg/yr)]],"")</f>
        <v>0.24194467407320666</v>
      </c>
      <c r="AX231" s="100">
        <v>0</v>
      </c>
      <c r="AY231" s="44" t="s">
        <v>121</v>
      </c>
      <c r="BA231" s="101">
        <v>1</v>
      </c>
      <c r="BB23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0.24194467407320666</v>
      </c>
      <c r="BC231" s="44"/>
      <c r="BD231" s="44"/>
      <c r="BJ231" s="43"/>
      <c r="BK231" s="45"/>
      <c r="BL231" s="45"/>
      <c r="BM23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3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3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3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3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31" s="19" t="str">
        <f>IFERROR(Table1[[#This Row],[* Prior Practice Efficiency]]*Table1[[#This Row],[* Prior Load Before Treatment (kg/year)]],"")</f>
        <v/>
      </c>
      <c r="BT231" s="19" t="s">
        <v>608</v>
      </c>
    </row>
    <row r="232" spans="1:73">
      <c r="A232" s="43" t="s">
        <v>536</v>
      </c>
      <c r="B232" s="43" t="s">
        <v>537</v>
      </c>
      <c r="C232" s="43" t="s">
        <v>109</v>
      </c>
      <c r="D232" s="43" t="s">
        <v>110</v>
      </c>
      <c r="E232" s="47">
        <v>44.807250506354244</v>
      </c>
      <c r="F232" s="47">
        <v>-73.064477367315448</v>
      </c>
      <c r="G232" s="44">
        <v>0</v>
      </c>
      <c r="H232" s="44">
        <v>0</v>
      </c>
      <c r="I232" s="44">
        <v>0.99</v>
      </c>
      <c r="J232" s="43" t="s">
        <v>162</v>
      </c>
      <c r="K232" s="43" t="s">
        <v>162</v>
      </c>
      <c r="N232" s="48"/>
      <c r="O232" s="43" t="s">
        <v>113</v>
      </c>
      <c r="Q232" s="43">
        <v>2022</v>
      </c>
      <c r="T232" s="43" t="s">
        <v>163</v>
      </c>
      <c r="U232" s="43" t="s">
        <v>164</v>
      </c>
      <c r="V232" s="43" t="s">
        <v>527</v>
      </c>
      <c r="W232" s="43" t="s">
        <v>115</v>
      </c>
      <c r="X232" s="43" t="s">
        <v>165</v>
      </c>
      <c r="Y232" s="43">
        <v>0.52774699999999997</v>
      </c>
      <c r="Z232" s="43" t="s">
        <v>136</v>
      </c>
      <c r="AA232" s="43" t="s">
        <v>118</v>
      </c>
      <c r="AF232" s="43">
        <v>0.46225300000000002</v>
      </c>
      <c r="AG232" s="43" t="s">
        <v>119</v>
      </c>
      <c r="AN232" s="50">
        <v>2333</v>
      </c>
      <c r="AP232" s="19"/>
      <c r="AQ232" s="19"/>
      <c r="AR23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0.38055469297763994</v>
      </c>
      <c r="AS23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0.98130553951775201</v>
      </c>
      <c r="AT23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3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0.90652769758876006</v>
      </c>
      <c r="AV23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0.54626110790355042</v>
      </c>
      <c r="AW232" s="19">
        <f>IFERROR(Table1[[#This Row],[* Practice Efficiency]]*Table1[[#This Row],[* Load Before Treatment (kg/yr)]],"")</f>
        <v>0.20788222820386107</v>
      </c>
      <c r="AX232" s="100">
        <v>0</v>
      </c>
      <c r="AY232" s="44" t="s">
        <v>121</v>
      </c>
      <c r="BA232" s="101">
        <v>1</v>
      </c>
      <c r="BB23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0.20788222820386107</v>
      </c>
      <c r="BC232" s="44"/>
      <c r="BD232" s="44"/>
      <c r="BJ232" s="43"/>
      <c r="BK232" s="45"/>
      <c r="BL232" s="45"/>
      <c r="BM23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3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3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3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3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32" s="19" t="str">
        <f>IFERROR(Table1[[#This Row],[* Prior Practice Efficiency]]*Table1[[#This Row],[* Prior Load Before Treatment (kg/year)]],"")</f>
        <v/>
      </c>
      <c r="BT232" s="19" t="s">
        <v>529</v>
      </c>
    </row>
    <row r="233" spans="1:73">
      <c r="A233" s="43" t="s">
        <v>538</v>
      </c>
      <c r="B233" s="43" t="s">
        <v>539</v>
      </c>
      <c r="C233" s="43" t="s">
        <v>109</v>
      </c>
      <c r="D233" s="43" t="s">
        <v>110</v>
      </c>
      <c r="E233" s="47">
        <v>44.80585555369133</v>
      </c>
      <c r="F233" s="47">
        <v>-73.064650706453207</v>
      </c>
      <c r="G233" s="44">
        <v>0</v>
      </c>
      <c r="H233" s="44">
        <v>0</v>
      </c>
      <c r="I233" s="44">
        <v>0.84</v>
      </c>
      <c r="J233" s="43" t="s">
        <v>162</v>
      </c>
      <c r="K233" s="43" t="s">
        <v>162</v>
      </c>
      <c r="N233" s="48"/>
      <c r="O233" s="43" t="s">
        <v>113</v>
      </c>
      <c r="Q233" s="43">
        <v>2022</v>
      </c>
      <c r="T233" s="43" t="s">
        <v>163</v>
      </c>
      <c r="U233" s="43" t="s">
        <v>164</v>
      </c>
      <c r="V233" s="43" t="s">
        <v>527</v>
      </c>
      <c r="W233" s="43" t="s">
        <v>115</v>
      </c>
      <c r="X233" s="43" t="s">
        <v>165</v>
      </c>
      <c r="Y233" s="43">
        <v>0.43724499999999999</v>
      </c>
      <c r="Z233" s="43" t="s">
        <v>136</v>
      </c>
      <c r="AA233" s="43" t="s">
        <v>118</v>
      </c>
      <c r="AF233" s="43">
        <v>0.40275499999999997</v>
      </c>
      <c r="AG233" s="43" t="s">
        <v>119</v>
      </c>
      <c r="AN233" s="50">
        <v>1798.9999999999998</v>
      </c>
      <c r="AP233" s="19"/>
      <c r="AQ233" s="19"/>
      <c r="AR23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0.31529432991757067</v>
      </c>
      <c r="AS23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0.9162745722728125</v>
      </c>
      <c r="AT23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3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0.58137286136406241</v>
      </c>
      <c r="AV23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0.53325491445456252</v>
      </c>
      <c r="AW233" s="19">
        <f>IFERROR(Table1[[#This Row],[* Practice Efficiency]]*Table1[[#This Row],[* Load Before Treatment (kg/yr)]],"")</f>
        <v>0.16813225092820275</v>
      </c>
      <c r="AX233" s="100">
        <v>0</v>
      </c>
      <c r="AY233" s="44" t="s">
        <v>121</v>
      </c>
      <c r="BA233" s="101">
        <v>1</v>
      </c>
      <c r="BB23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0.16813225092820275</v>
      </c>
      <c r="BC233" s="44"/>
      <c r="BD233" s="44"/>
      <c r="BJ233" s="43"/>
      <c r="BK233" s="45"/>
      <c r="BL233" s="45"/>
      <c r="BM23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3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3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3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3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33" s="19" t="str">
        <f>IFERROR(Table1[[#This Row],[* Prior Practice Efficiency]]*Table1[[#This Row],[* Prior Load Before Treatment (kg/year)]],"")</f>
        <v/>
      </c>
      <c r="BT233" s="19" t="s">
        <v>529</v>
      </c>
    </row>
    <row r="234" spans="1:73">
      <c r="A234" s="43" t="s">
        <v>540</v>
      </c>
      <c r="B234" s="43" t="s">
        <v>541</v>
      </c>
      <c r="C234" s="43" t="s">
        <v>109</v>
      </c>
      <c r="D234" s="43" t="s">
        <v>110</v>
      </c>
      <c r="E234" s="47">
        <v>44.804350292935652</v>
      </c>
      <c r="F234" s="47">
        <v>-73.064799141746946</v>
      </c>
      <c r="G234" s="44">
        <v>0</v>
      </c>
      <c r="H234" s="44">
        <v>0</v>
      </c>
      <c r="I234" s="44">
        <v>1.076762</v>
      </c>
      <c r="J234" s="43" t="s">
        <v>162</v>
      </c>
      <c r="K234" s="43" t="s">
        <v>162</v>
      </c>
      <c r="N234" s="48"/>
      <c r="O234" s="43" t="s">
        <v>113</v>
      </c>
      <c r="Q234" s="43">
        <v>2022</v>
      </c>
      <c r="T234" s="43" t="s">
        <v>163</v>
      </c>
      <c r="U234" s="43" t="s">
        <v>164</v>
      </c>
      <c r="V234" s="43" t="s">
        <v>527</v>
      </c>
      <c r="W234" s="43" t="s">
        <v>115</v>
      </c>
      <c r="X234" s="43" t="s">
        <v>165</v>
      </c>
      <c r="Y234" s="43">
        <v>0.54790300000000003</v>
      </c>
      <c r="Z234" s="43" t="s">
        <v>136</v>
      </c>
      <c r="AA234" s="43" t="s">
        <v>118</v>
      </c>
      <c r="AF234" s="43">
        <v>0.52885899999999997</v>
      </c>
      <c r="AG234" s="43" t="s">
        <v>119</v>
      </c>
      <c r="AN234" s="50">
        <v>2544</v>
      </c>
      <c r="AP234" s="19"/>
      <c r="AQ234" s="19"/>
      <c r="AR23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0.39508904445980342</v>
      </c>
      <c r="AS23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1.0055621108713464</v>
      </c>
      <c r="AT23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3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1.1124221742692786E-2</v>
      </c>
      <c r="AV23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0.57044496886970764</v>
      </c>
      <c r="AW234" s="19">
        <f>IFERROR(Table1[[#This Row],[* Practice Efficiency]]*Table1[[#This Row],[* Load Before Treatment (kg/yr)]],"")</f>
        <v>0.22537655766763509</v>
      </c>
      <c r="AX234" s="100">
        <v>0</v>
      </c>
      <c r="AY234" s="44" t="s">
        <v>121</v>
      </c>
      <c r="BA234" s="101">
        <v>1</v>
      </c>
      <c r="BB23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0.22537655766763509</v>
      </c>
      <c r="BC234" s="44"/>
      <c r="BD234" s="44"/>
      <c r="BJ234" s="43"/>
      <c r="BK234" s="45"/>
      <c r="BL234" s="45"/>
      <c r="BM23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3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3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3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3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34" s="19" t="str">
        <f>IFERROR(Table1[[#This Row],[* Prior Practice Efficiency]]*Table1[[#This Row],[* Prior Load Before Treatment (kg/year)]],"")</f>
        <v/>
      </c>
      <c r="BT234" s="19" t="s">
        <v>529</v>
      </c>
    </row>
    <row r="235" spans="1:73">
      <c r="A235" s="43" t="s">
        <v>542</v>
      </c>
      <c r="B235" s="43" t="s">
        <v>543</v>
      </c>
      <c r="C235" s="43" t="s">
        <v>109</v>
      </c>
      <c r="D235" s="43" t="s">
        <v>110</v>
      </c>
      <c r="E235" s="47">
        <v>44.800150680467389</v>
      </c>
      <c r="F235" s="47">
        <v>-73.066247500136214</v>
      </c>
      <c r="G235" s="44">
        <v>0</v>
      </c>
      <c r="H235" s="44">
        <v>0</v>
      </c>
      <c r="I235" s="44">
        <v>1</v>
      </c>
      <c r="J235" s="43" t="s">
        <v>162</v>
      </c>
      <c r="K235" s="43" t="s">
        <v>162</v>
      </c>
      <c r="N235" s="48"/>
      <c r="O235" s="43" t="s">
        <v>113</v>
      </c>
      <c r="Q235" s="43">
        <v>2022</v>
      </c>
      <c r="T235" s="43" t="s">
        <v>163</v>
      </c>
      <c r="U235" s="43" t="s">
        <v>164</v>
      </c>
      <c r="V235" s="43" t="s">
        <v>527</v>
      </c>
      <c r="W235" s="43" t="s">
        <v>115</v>
      </c>
      <c r="X235" s="43" t="s">
        <v>165</v>
      </c>
      <c r="Y235" s="43">
        <v>0.50434000000000001</v>
      </c>
      <c r="Z235" s="43" t="s">
        <v>136</v>
      </c>
      <c r="AA235" s="43" t="s">
        <v>118</v>
      </c>
      <c r="AF235" s="43">
        <v>0.49565999999999999</v>
      </c>
      <c r="AG235" s="43" t="s">
        <v>119</v>
      </c>
      <c r="AN235" s="50">
        <v>2359</v>
      </c>
      <c r="AP235" s="19"/>
      <c r="AQ235" s="19"/>
      <c r="AR23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0.36367606799535185</v>
      </c>
      <c r="AS23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1.0084413862953623</v>
      </c>
      <c r="AT23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3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1.6882772590724571E-2</v>
      </c>
      <c r="AV23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0.57067531090362889</v>
      </c>
      <c r="AW235" s="19">
        <f>IFERROR(Table1[[#This Row],[* Practice Efficiency]]*Table1[[#This Row],[* Load Before Treatment (kg/yr)]],"")</f>
        <v>0.20754095317145668</v>
      </c>
      <c r="AX235" s="100">
        <v>0</v>
      </c>
      <c r="AY235" s="44" t="s">
        <v>121</v>
      </c>
      <c r="BA235" s="101">
        <v>1</v>
      </c>
      <c r="BB23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0.20754095317145668</v>
      </c>
      <c r="BC235" s="44"/>
      <c r="BD235" s="44"/>
      <c r="BJ235" s="43"/>
      <c r="BK235" s="45"/>
      <c r="BL235" s="45"/>
      <c r="BM23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3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3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3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3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35" s="19" t="str">
        <f>IFERROR(Table1[[#This Row],[* Prior Practice Efficiency]]*Table1[[#This Row],[* Prior Load Before Treatment (kg/year)]],"")</f>
        <v/>
      </c>
      <c r="BT235" s="19" t="s">
        <v>529</v>
      </c>
    </row>
    <row r="236" spans="1:73">
      <c r="A236" s="43" t="s">
        <v>544</v>
      </c>
      <c r="B236" s="43" t="s">
        <v>545</v>
      </c>
      <c r="C236" s="43" t="s">
        <v>109</v>
      </c>
      <c r="D236" s="43" t="s">
        <v>110</v>
      </c>
      <c r="E236" s="47">
        <v>44.788733000000001</v>
      </c>
      <c r="F236" s="47">
        <v>-73.071890999999994</v>
      </c>
      <c r="G236" s="44">
        <v>0</v>
      </c>
      <c r="H236" s="44">
        <v>0</v>
      </c>
      <c r="I236" s="44">
        <v>1.613326</v>
      </c>
      <c r="J236" s="43" t="s">
        <v>162</v>
      </c>
      <c r="K236" s="43" t="s">
        <v>162</v>
      </c>
      <c r="N236" s="48"/>
      <c r="O236" s="43" t="s">
        <v>113</v>
      </c>
      <c r="Q236" s="43">
        <v>2022</v>
      </c>
      <c r="T236" s="43" t="s">
        <v>328</v>
      </c>
      <c r="U236" s="43" t="s">
        <v>164</v>
      </c>
      <c r="V236" s="43" t="s">
        <v>527</v>
      </c>
      <c r="W236" s="43" t="s">
        <v>115</v>
      </c>
      <c r="X236" s="43" t="s">
        <v>165</v>
      </c>
      <c r="Y236" s="43">
        <v>0.425927</v>
      </c>
      <c r="Z236" s="43" t="s">
        <v>136</v>
      </c>
      <c r="AA236" s="43" t="s">
        <v>118</v>
      </c>
      <c r="AF236" s="43">
        <v>1.1873990000000001</v>
      </c>
      <c r="AG236" s="43" t="s">
        <v>119</v>
      </c>
      <c r="AM236"/>
      <c r="AN236" s="50">
        <v>2762</v>
      </c>
      <c r="AP236" s="19"/>
      <c r="AQ236" s="19"/>
      <c r="AR23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0.30713299879655831</v>
      </c>
      <c r="AS23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1.0019591838509243</v>
      </c>
      <c r="AT23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3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3.9183677018486129E-3</v>
      </c>
      <c r="AV23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0.57015673470807393</v>
      </c>
      <c r="AW236" s="19">
        <f>IFERROR(Table1[[#This Row],[* Practice Efficiency]]*Table1[[#This Row],[* Load Before Treatment (kg/yr)]],"")</f>
        <v>0.17511394771494448</v>
      </c>
      <c r="AX236" s="100">
        <v>0</v>
      </c>
      <c r="AY236" s="44" t="s">
        <v>121</v>
      </c>
      <c r="BA236" s="101">
        <v>1</v>
      </c>
      <c r="BB23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0.17511394771494448</v>
      </c>
      <c r="BC236" s="44"/>
      <c r="BD236" s="44"/>
      <c r="BJ236" s="43"/>
      <c r="BK236" s="45"/>
      <c r="BL236" s="45"/>
      <c r="BM23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3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3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3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3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36" s="19" t="str">
        <f>IFERROR(Table1[[#This Row],[* Prior Practice Efficiency]]*Table1[[#This Row],[* Prior Load Before Treatment (kg/year)]],"")</f>
        <v/>
      </c>
      <c r="BT236" s="19" t="s">
        <v>529</v>
      </c>
    </row>
    <row r="237" spans="1:73">
      <c r="A237" s="43" t="s">
        <v>546</v>
      </c>
      <c r="B237" s="43" t="s">
        <v>547</v>
      </c>
      <c r="C237" s="43" t="s">
        <v>109</v>
      </c>
      <c r="D237" s="43" t="s">
        <v>110</v>
      </c>
      <c r="E237" s="47">
        <v>44.786703000000003</v>
      </c>
      <c r="F237" s="47">
        <v>-73.072318999999993</v>
      </c>
      <c r="G237" s="44">
        <v>0</v>
      </c>
      <c r="H237" s="44">
        <v>0</v>
      </c>
      <c r="I237" s="44">
        <v>2.1271429999999998</v>
      </c>
      <c r="J237" s="43" t="s">
        <v>162</v>
      </c>
      <c r="K237" s="43" t="s">
        <v>162</v>
      </c>
      <c r="N237" s="48"/>
      <c r="O237" s="43" t="s">
        <v>113</v>
      </c>
      <c r="Q237" s="43">
        <v>2022</v>
      </c>
      <c r="T237" s="43" t="s">
        <v>328</v>
      </c>
      <c r="U237" s="43" t="s">
        <v>164</v>
      </c>
      <c r="V237" s="43" t="s">
        <v>527</v>
      </c>
      <c r="W237" s="43" t="s">
        <v>115</v>
      </c>
      <c r="X237" s="43" t="s">
        <v>165</v>
      </c>
      <c r="Y237" s="43">
        <v>0.37075799999999998</v>
      </c>
      <c r="Z237" s="43" t="s">
        <v>136</v>
      </c>
      <c r="AA237" s="43" t="s">
        <v>118</v>
      </c>
      <c r="AF237" s="43">
        <v>1.7563849999999999</v>
      </c>
      <c r="AG237" s="43" t="s">
        <v>119</v>
      </c>
      <c r="AM237"/>
      <c r="AN237" s="50">
        <v>2741</v>
      </c>
      <c r="AP237" s="19"/>
      <c r="AQ237" s="19"/>
      <c r="AR23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0.26735101641317494</v>
      </c>
      <c r="AS23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0.91729027272064667</v>
      </c>
      <c r="AT23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3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0.58645136360323324</v>
      </c>
      <c r="AV23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0.53345805454412931</v>
      </c>
      <c r="AW237" s="19">
        <f>IFERROR(Table1[[#This Row],[* Practice Efficiency]]*Table1[[#This Row],[* Load Before Treatment (kg/yr)]],"")</f>
        <v>0.14262055309616789</v>
      </c>
      <c r="AX237" s="100">
        <v>0</v>
      </c>
      <c r="AY237" s="44" t="s">
        <v>121</v>
      </c>
      <c r="BA237" s="101">
        <v>1</v>
      </c>
      <c r="BB23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0.14262055309616789</v>
      </c>
      <c r="BC237" s="44"/>
      <c r="BD237" s="44"/>
      <c r="BJ237" s="43"/>
      <c r="BK237" s="45"/>
      <c r="BL237" s="45"/>
      <c r="BM23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3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3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3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3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37" s="19" t="str">
        <f>IFERROR(Table1[[#This Row],[* Prior Practice Efficiency]]*Table1[[#This Row],[* Prior Load Before Treatment (kg/year)]],"")</f>
        <v/>
      </c>
      <c r="BT237" s="19" t="s">
        <v>529</v>
      </c>
    </row>
    <row r="238" spans="1:73">
      <c r="A238" s="43" t="s">
        <v>548</v>
      </c>
      <c r="B238" s="43" t="s">
        <v>549</v>
      </c>
      <c r="C238" s="43" t="s">
        <v>109</v>
      </c>
      <c r="D238" s="43" t="s">
        <v>110</v>
      </c>
      <c r="E238" s="47">
        <v>44.781798000000002</v>
      </c>
      <c r="F238" s="47">
        <v>-73.073290999999998</v>
      </c>
      <c r="G238" s="44">
        <v>0</v>
      </c>
      <c r="H238" s="44">
        <v>0</v>
      </c>
      <c r="I238" s="44">
        <v>2.2489509999999999</v>
      </c>
      <c r="J238" s="43" t="s">
        <v>162</v>
      </c>
      <c r="K238" s="43" t="s">
        <v>162</v>
      </c>
      <c r="N238" s="48"/>
      <c r="O238" s="43" t="s">
        <v>113</v>
      </c>
      <c r="Q238" s="43">
        <v>2022</v>
      </c>
      <c r="T238" s="43" t="s">
        <v>328</v>
      </c>
      <c r="U238" s="43" t="s">
        <v>164</v>
      </c>
      <c r="V238" s="43" t="s">
        <v>527</v>
      </c>
      <c r="W238" s="43" t="s">
        <v>115</v>
      </c>
      <c r="X238" s="43" t="s">
        <v>165</v>
      </c>
      <c r="Y238" s="43">
        <v>0.40857900000000003</v>
      </c>
      <c r="Z238" s="43" t="s">
        <v>136</v>
      </c>
      <c r="AA238" s="43" t="s">
        <v>118</v>
      </c>
      <c r="AF238" s="43">
        <v>1.8403719999999999</v>
      </c>
      <c r="AG238" s="43" t="s">
        <v>119</v>
      </c>
      <c r="AM238"/>
      <c r="AN238" s="50">
        <v>2358</v>
      </c>
      <c r="AP238" s="19"/>
      <c r="AQ238" s="19"/>
      <c r="AR23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0.29462347659410887</v>
      </c>
      <c r="AS23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0.79256239551541807</v>
      </c>
      <c r="AT23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5.9999999999999942E-2</v>
      </c>
      <c r="AU23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0.96281197757709014</v>
      </c>
      <c r="AV23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0.46776871865462533</v>
      </c>
      <c r="AW238" s="19">
        <f>IFERROR(Table1[[#This Row],[* Practice Efficiency]]*Table1[[#This Row],[* Load Before Treatment (kg/yr)]],"")</f>
        <v>0.13781564613199729</v>
      </c>
      <c r="AX238" s="100">
        <v>0</v>
      </c>
      <c r="AY238" s="44" t="s">
        <v>121</v>
      </c>
      <c r="BA238" s="101">
        <v>1</v>
      </c>
      <c r="BB23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0.13781564613199729</v>
      </c>
      <c r="BC238" s="44"/>
      <c r="BD238" s="44"/>
      <c r="BJ238" s="43"/>
      <c r="BK238" s="45"/>
      <c r="BL238" s="45"/>
      <c r="BM23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3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3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3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3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38" s="19" t="str">
        <f>IFERROR(Table1[[#This Row],[* Prior Practice Efficiency]]*Table1[[#This Row],[* Prior Load Before Treatment (kg/year)]],"")</f>
        <v/>
      </c>
      <c r="BT238" s="19" t="s">
        <v>529</v>
      </c>
    </row>
    <row r="239" spans="1:73">
      <c r="A239" s="43" t="s">
        <v>550</v>
      </c>
      <c r="B239" s="43" t="s">
        <v>551</v>
      </c>
      <c r="C239" s="43" t="s">
        <v>109</v>
      </c>
      <c r="D239" s="43" t="s">
        <v>110</v>
      </c>
      <c r="E239" s="47">
        <v>44.780473000000001</v>
      </c>
      <c r="F239" s="47">
        <v>-73.073555999999996</v>
      </c>
      <c r="G239" s="44">
        <v>0</v>
      </c>
      <c r="H239" s="44">
        <v>0</v>
      </c>
      <c r="I239" s="44">
        <v>1.5959539999999999</v>
      </c>
      <c r="J239" s="43" t="s">
        <v>162</v>
      </c>
      <c r="K239" s="43" t="s">
        <v>162</v>
      </c>
      <c r="N239" s="48"/>
      <c r="O239" s="43" t="s">
        <v>113</v>
      </c>
      <c r="Q239" s="43">
        <v>2022</v>
      </c>
      <c r="T239" s="43" t="s">
        <v>328</v>
      </c>
      <c r="U239" s="43" t="s">
        <v>164</v>
      </c>
      <c r="V239" s="43" t="s">
        <v>527</v>
      </c>
      <c r="W239" s="43" t="s">
        <v>115</v>
      </c>
      <c r="X239" s="43" t="s">
        <v>165</v>
      </c>
      <c r="Y239" s="43">
        <v>0.31003999999999998</v>
      </c>
      <c r="Z239" s="43" t="s">
        <v>136</v>
      </c>
      <c r="AA239" s="43" t="s">
        <v>118</v>
      </c>
      <c r="AF239" s="43">
        <v>1.285914</v>
      </c>
      <c r="AG239" s="43" t="s">
        <v>119</v>
      </c>
      <c r="AM239"/>
      <c r="AN239" s="50">
        <v>2358</v>
      </c>
      <c r="AP239" s="19"/>
      <c r="AQ239" s="19"/>
      <c r="AR23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0.22356768870460181</v>
      </c>
      <c r="AS23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0.97944089532914802</v>
      </c>
      <c r="AT23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3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0.8972044766457401</v>
      </c>
      <c r="AV23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0.54588817906582965</v>
      </c>
      <c r="AW239" s="19">
        <f>IFERROR(Table1[[#This Row],[* Practice Efficiency]]*Table1[[#This Row],[* Load Before Treatment (kg/yr)]],"")</f>
        <v>0.12204295848491133</v>
      </c>
      <c r="AX239" s="100">
        <v>0</v>
      </c>
      <c r="AY239" s="44" t="s">
        <v>121</v>
      </c>
      <c r="BA239" s="101">
        <v>1</v>
      </c>
      <c r="BB23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0.12204295848491133</v>
      </c>
      <c r="BC239" s="44"/>
      <c r="BD239" s="44"/>
      <c r="BJ239" s="43"/>
      <c r="BK239" s="45"/>
      <c r="BL239" s="45"/>
      <c r="BM23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3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3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3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3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39" s="19" t="str">
        <f>IFERROR(Table1[[#This Row],[* Prior Practice Efficiency]]*Table1[[#This Row],[* Prior Load Before Treatment (kg/year)]],"")</f>
        <v/>
      </c>
      <c r="BT239" s="19" t="s">
        <v>529</v>
      </c>
    </row>
    <row r="240" spans="1:73">
      <c r="A240" s="43" t="s">
        <v>552</v>
      </c>
      <c r="B240" s="43" t="s">
        <v>553</v>
      </c>
      <c r="C240" s="43" t="s">
        <v>109</v>
      </c>
      <c r="D240" s="43" t="s">
        <v>110</v>
      </c>
      <c r="E240" s="47">
        <v>44.783057999999997</v>
      </c>
      <c r="F240" s="47">
        <v>-73.073025999999999</v>
      </c>
      <c r="G240" s="44">
        <v>0</v>
      </c>
      <c r="H240" s="44">
        <v>0</v>
      </c>
      <c r="I240" s="44">
        <v>1.4011169999999997</v>
      </c>
      <c r="J240" s="43" t="s">
        <v>162</v>
      </c>
      <c r="K240" s="43" t="s">
        <v>162</v>
      </c>
      <c r="N240" s="48"/>
      <c r="O240" s="43" t="s">
        <v>113</v>
      </c>
      <c r="Q240" s="43">
        <v>2022</v>
      </c>
      <c r="T240" s="43" t="s">
        <v>328</v>
      </c>
      <c r="U240" s="43" t="s">
        <v>164</v>
      </c>
      <c r="V240" s="43" t="s">
        <v>527</v>
      </c>
      <c r="W240" s="43" t="s">
        <v>115</v>
      </c>
      <c r="X240" s="43" t="s">
        <v>165</v>
      </c>
      <c r="Y240" s="43">
        <v>0.30404500000000001</v>
      </c>
      <c r="Z240" s="43" t="s">
        <v>136</v>
      </c>
      <c r="AA240" s="43" t="s">
        <v>118</v>
      </c>
      <c r="AF240" s="43">
        <v>1.0970719999999998</v>
      </c>
      <c r="AG240" s="43" t="s">
        <v>119</v>
      </c>
      <c r="AM240"/>
      <c r="AN240" s="50">
        <v>2608</v>
      </c>
      <c r="AP240" s="19"/>
      <c r="AQ240" s="19"/>
      <c r="AR24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0.21924473587985635</v>
      </c>
      <c r="AS24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1.1129069420483122</v>
      </c>
      <c r="AT24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4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0.2258138840966244</v>
      </c>
      <c r="AV24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0.57903255536386489</v>
      </c>
      <c r="AW240" s="19">
        <f>IFERROR(Table1[[#This Row],[* Practice Efficiency]]*Table1[[#This Row],[* Load Before Treatment (kg/yr)]],"")</f>
        <v>0.12694983966658885</v>
      </c>
      <c r="AX240" s="100">
        <v>0</v>
      </c>
      <c r="AY240" s="44" t="s">
        <v>121</v>
      </c>
      <c r="BA240" s="101">
        <v>1</v>
      </c>
      <c r="BB24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0.12694983966658885</v>
      </c>
      <c r="BC240" s="44"/>
      <c r="BD240" s="44"/>
      <c r="BJ240" s="43"/>
      <c r="BK240" s="45"/>
      <c r="BL240" s="45"/>
      <c r="BM24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4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4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4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4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40" s="19" t="str">
        <f>IFERROR(Table1[[#This Row],[* Prior Practice Efficiency]]*Table1[[#This Row],[* Prior Load Before Treatment (kg/year)]],"")</f>
        <v/>
      </c>
      <c r="BT240" s="19" t="s">
        <v>529</v>
      </c>
    </row>
    <row r="241" spans="1:72">
      <c r="A241" s="43" t="s">
        <v>554</v>
      </c>
      <c r="B241" s="43" t="s">
        <v>555</v>
      </c>
      <c r="C241" s="43" t="s">
        <v>109</v>
      </c>
      <c r="D241" s="43" t="s">
        <v>110</v>
      </c>
      <c r="E241" s="47">
        <v>44.801550090580385</v>
      </c>
      <c r="F241" s="47">
        <v>-73.065567760340713</v>
      </c>
      <c r="G241" s="44">
        <v>0</v>
      </c>
      <c r="H241" s="44">
        <v>0</v>
      </c>
      <c r="I241" s="44">
        <v>0.94</v>
      </c>
      <c r="J241" s="43" t="s">
        <v>162</v>
      </c>
      <c r="K241" s="43" t="s">
        <v>162</v>
      </c>
      <c r="N241" s="48"/>
      <c r="O241" s="43" t="s">
        <v>113</v>
      </c>
      <c r="Q241" s="43">
        <v>2022</v>
      </c>
      <c r="T241" s="43" t="s">
        <v>163</v>
      </c>
      <c r="U241" s="43" t="s">
        <v>164</v>
      </c>
      <c r="V241" s="43" t="s">
        <v>527</v>
      </c>
      <c r="W241" s="43" t="s">
        <v>115</v>
      </c>
      <c r="X241" s="43" t="s">
        <v>165</v>
      </c>
      <c r="Y241" s="43">
        <v>0.46958299999999997</v>
      </c>
      <c r="Z241" s="43" t="s">
        <v>136</v>
      </c>
      <c r="AA241" s="43" t="s">
        <v>118</v>
      </c>
      <c r="AF241" s="43">
        <v>0.47041699999999997</v>
      </c>
      <c r="AG241" s="43" t="s">
        <v>119</v>
      </c>
      <c r="AN241" s="50">
        <v>2047</v>
      </c>
      <c r="AP241" s="19"/>
      <c r="AQ241" s="19"/>
      <c r="AR24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0.33861303691450467</v>
      </c>
      <c r="AS24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0.94815863252062538</v>
      </c>
      <c r="AT24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4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0.74079316260312678</v>
      </c>
      <c r="AV24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0.53963172650412505</v>
      </c>
      <c r="AW241" s="19">
        <f>IFERROR(Table1[[#This Row],[* Practice Efficiency]]*Table1[[#This Row],[* Load Before Treatment (kg/yr)]],"")</f>
        <v>0.18272633772697919</v>
      </c>
      <c r="AX241" s="100">
        <v>0</v>
      </c>
      <c r="AY241" s="44" t="s">
        <v>121</v>
      </c>
      <c r="BA241" s="101">
        <v>1</v>
      </c>
      <c r="BB24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0.18272633772697919</v>
      </c>
      <c r="BC241" s="44"/>
      <c r="BD241" s="44"/>
      <c r="BJ241" s="43"/>
      <c r="BK241" s="45"/>
      <c r="BL241" s="45"/>
      <c r="BM24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4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4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4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4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41" s="19" t="str">
        <f>IFERROR(Table1[[#This Row],[* Prior Practice Efficiency]]*Table1[[#This Row],[* Prior Load Before Treatment (kg/year)]],"")</f>
        <v/>
      </c>
      <c r="BT241" s="19" t="s">
        <v>529</v>
      </c>
    </row>
    <row r="242" spans="1:72">
      <c r="A242" s="43" t="s">
        <v>556</v>
      </c>
      <c r="B242" s="43" t="s">
        <v>557</v>
      </c>
      <c r="C242" s="43" t="s">
        <v>109</v>
      </c>
      <c r="D242" s="43" t="s">
        <v>110</v>
      </c>
      <c r="E242" s="47">
        <v>44.785364000000001</v>
      </c>
      <c r="F242" s="47">
        <v>-73.072582999999995</v>
      </c>
      <c r="G242" s="44">
        <v>0</v>
      </c>
      <c r="H242" s="44">
        <v>0</v>
      </c>
      <c r="I242" s="44">
        <v>1.7061580000000001</v>
      </c>
      <c r="J242" s="43" t="s">
        <v>162</v>
      </c>
      <c r="K242" s="43" t="s">
        <v>162</v>
      </c>
      <c r="N242" s="48"/>
      <c r="O242" s="43" t="s">
        <v>113</v>
      </c>
      <c r="Q242" s="43">
        <v>2022</v>
      </c>
      <c r="T242" s="43" t="s">
        <v>328</v>
      </c>
      <c r="U242" s="43" t="s">
        <v>164</v>
      </c>
      <c r="V242" s="43" t="s">
        <v>527</v>
      </c>
      <c r="W242" s="43" t="s">
        <v>115</v>
      </c>
      <c r="X242" s="43" t="s">
        <v>165</v>
      </c>
      <c r="Y242" s="43">
        <v>0.26914500000000002</v>
      </c>
      <c r="Z242" s="43" t="s">
        <v>136</v>
      </c>
      <c r="AA242" s="43" t="s">
        <v>118</v>
      </c>
      <c r="AF242" s="43">
        <v>1.4370130000000001</v>
      </c>
      <c r="AG242" s="43" t="s">
        <v>119</v>
      </c>
      <c r="AM242"/>
      <c r="AN242" s="50">
        <v>2534</v>
      </c>
      <c r="AP242" s="19"/>
      <c r="AQ242" s="19"/>
      <c r="AR24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0.19407858849309786</v>
      </c>
      <c r="AS24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1.0242832962387245</v>
      </c>
      <c r="AT24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4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4.8566592477448989E-2</v>
      </c>
      <c r="AV24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0.57194266369909796</v>
      </c>
      <c r="AW242" s="19">
        <f>IFERROR(Table1[[#This Row],[* Practice Efficiency]]*Table1[[#This Row],[* Load Before Treatment (kg/yr)]],"")</f>
        <v>0.1110018248697035</v>
      </c>
      <c r="AX242" s="100">
        <v>0</v>
      </c>
      <c r="AY242" s="44" t="s">
        <v>121</v>
      </c>
      <c r="BA242" s="101">
        <v>1</v>
      </c>
      <c r="BB24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0.1110018248697035</v>
      </c>
      <c r="BC242" s="44"/>
      <c r="BD242" s="44"/>
      <c r="BJ242" s="43"/>
      <c r="BK242" s="45"/>
      <c r="BL242" s="45"/>
      <c r="BM24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4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4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4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4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42" s="19" t="str">
        <f>IFERROR(Table1[[#This Row],[* Prior Practice Efficiency]]*Table1[[#This Row],[* Prior Load Before Treatment (kg/year)]],"")</f>
        <v/>
      </c>
      <c r="BT242" s="19" t="s">
        <v>529</v>
      </c>
    </row>
    <row r="243" spans="1:72">
      <c r="A243" s="43" t="s">
        <v>558</v>
      </c>
      <c r="B243" s="43" t="s">
        <v>559</v>
      </c>
      <c r="C243" s="43" t="s">
        <v>109</v>
      </c>
      <c r="D243" s="43" t="s">
        <v>110</v>
      </c>
      <c r="E243" s="47">
        <v>44.784140999999998</v>
      </c>
      <c r="F243" s="47">
        <v>-73.072811000000002</v>
      </c>
      <c r="G243" s="44">
        <v>0</v>
      </c>
      <c r="H243" s="44">
        <v>0</v>
      </c>
      <c r="I243" s="44">
        <v>1.8029290000000002</v>
      </c>
      <c r="J243" s="43" t="s">
        <v>162</v>
      </c>
      <c r="K243" s="43" t="s">
        <v>162</v>
      </c>
      <c r="N243" s="48"/>
      <c r="O243" s="43" t="s">
        <v>113</v>
      </c>
      <c r="Q243" s="43">
        <v>2022</v>
      </c>
      <c r="T243" s="43" t="s">
        <v>328</v>
      </c>
      <c r="U243" s="43" t="s">
        <v>164</v>
      </c>
      <c r="V243" s="43" t="s">
        <v>527</v>
      </c>
      <c r="W243" s="43" t="s">
        <v>115</v>
      </c>
      <c r="X243" s="43" t="s">
        <v>165</v>
      </c>
      <c r="Y243" s="43">
        <v>0.36291200000000001</v>
      </c>
      <c r="Z243" s="43" t="s">
        <v>136</v>
      </c>
      <c r="AA243" s="43" t="s">
        <v>118</v>
      </c>
      <c r="AF243" s="43">
        <v>1.4400170000000001</v>
      </c>
      <c r="AG243" s="43" t="s">
        <v>119</v>
      </c>
      <c r="AN243" s="50">
        <v>3339</v>
      </c>
      <c r="AP243" s="19"/>
      <c r="AQ243" s="19"/>
      <c r="AR24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0.26169332035596843</v>
      </c>
      <c r="AS24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1.1264746847868274</v>
      </c>
      <c r="AT24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4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0.25294936957365488</v>
      </c>
      <c r="AV24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0.58011797478294613</v>
      </c>
      <c r="AW243" s="19">
        <f>IFERROR(Table1[[#This Row],[* Practice Efficiency]]*Table1[[#This Row],[* Load Before Treatment (kg/yr)]],"")</f>
        <v>0.15181299901912915</v>
      </c>
      <c r="AX243" s="100">
        <v>0</v>
      </c>
      <c r="AY243" s="44" t="s">
        <v>121</v>
      </c>
      <c r="BA243" s="101">
        <v>1</v>
      </c>
      <c r="BB24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0.15181299901912915</v>
      </c>
      <c r="BC243" s="44"/>
      <c r="BD243" s="44"/>
      <c r="BJ243" s="43"/>
      <c r="BK243" s="45"/>
      <c r="BL243" s="45"/>
      <c r="BM24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4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4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4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4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43" s="19" t="str">
        <f>IFERROR(Table1[[#This Row],[* Prior Practice Efficiency]]*Table1[[#This Row],[* Prior Load Before Treatment (kg/year)]],"")</f>
        <v/>
      </c>
      <c r="BT243" s="19" t="s">
        <v>529</v>
      </c>
    </row>
    <row r="244" spans="1:72">
      <c r="A244" s="43" t="s">
        <v>560</v>
      </c>
      <c r="B244" s="43" t="s">
        <v>561</v>
      </c>
      <c r="C244" s="43" t="s">
        <v>109</v>
      </c>
      <c r="D244" s="43" t="s">
        <v>110</v>
      </c>
      <c r="E244" s="47">
        <v>44.778277000000003</v>
      </c>
      <c r="F244" s="47">
        <v>-73.073983999999996</v>
      </c>
      <c r="G244" s="44">
        <v>0</v>
      </c>
      <c r="H244" s="44">
        <v>0</v>
      </c>
      <c r="I244" s="44">
        <v>4.9200359999999996</v>
      </c>
      <c r="J244" s="43" t="s">
        <v>162</v>
      </c>
      <c r="K244" s="43" t="s">
        <v>162</v>
      </c>
      <c r="N244" s="48"/>
      <c r="O244" s="43" t="s">
        <v>113</v>
      </c>
      <c r="Q244" s="43">
        <v>2022</v>
      </c>
      <c r="T244" s="43" t="s">
        <v>328</v>
      </c>
      <c r="U244" s="43" t="s">
        <v>164</v>
      </c>
      <c r="V244" s="43" t="s">
        <v>527</v>
      </c>
      <c r="W244" s="43" t="s">
        <v>115</v>
      </c>
      <c r="X244" s="43" t="s">
        <v>165</v>
      </c>
      <c r="Y244" s="43">
        <v>0.92305499999999996</v>
      </c>
      <c r="Z244" s="43" t="s">
        <v>136</v>
      </c>
      <c r="AA244" s="43" t="s">
        <v>118</v>
      </c>
      <c r="AF244" s="43">
        <v>3.9969809999999999</v>
      </c>
      <c r="AG244" s="43" t="s">
        <v>119</v>
      </c>
      <c r="AN244" s="50">
        <v>5579</v>
      </c>
      <c r="AP244" s="19"/>
      <c r="AQ244" s="19"/>
      <c r="AR24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0.66560854372734557</v>
      </c>
      <c r="AS24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0.82846448598318412</v>
      </c>
      <c r="AT24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4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0.1423224299159204</v>
      </c>
      <c r="AV24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0.5156928971966368</v>
      </c>
      <c r="AW244" s="19">
        <f>IFERROR(Table1[[#This Row],[* Practice Efficiency]]*Table1[[#This Row],[* Load Before Treatment (kg/yr)]],"")</f>
        <v>0.34324959831358914</v>
      </c>
      <c r="AX244" s="100">
        <v>0</v>
      </c>
      <c r="AY244" s="44" t="s">
        <v>121</v>
      </c>
      <c r="BA244" s="101">
        <v>1</v>
      </c>
      <c r="BB24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0.34324959831358914</v>
      </c>
      <c r="BC244" s="44"/>
      <c r="BD244" s="44"/>
      <c r="BJ244" s="43"/>
      <c r="BK244" s="45"/>
      <c r="BL244" s="45"/>
      <c r="BM24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4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4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4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4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44" s="19" t="str">
        <f>IFERROR(Table1[[#This Row],[* Prior Practice Efficiency]]*Table1[[#This Row],[* Prior Load Before Treatment (kg/year)]],"")</f>
        <v/>
      </c>
      <c r="BT244" s="19" t="s">
        <v>529</v>
      </c>
    </row>
    <row r="245" spans="1:72">
      <c r="A245" s="43" t="s">
        <v>562</v>
      </c>
      <c r="B245" s="43" t="s">
        <v>563</v>
      </c>
      <c r="C245" s="43" t="s">
        <v>109</v>
      </c>
      <c r="D245" s="43" t="s">
        <v>110</v>
      </c>
      <c r="E245" s="47">
        <v>44.802865361715163</v>
      </c>
      <c r="F245" s="47">
        <v>-73.065105701089863</v>
      </c>
      <c r="G245" s="44">
        <v>0</v>
      </c>
      <c r="H245" s="44">
        <v>0</v>
      </c>
      <c r="I245" s="44">
        <v>0.85</v>
      </c>
      <c r="J245" s="43" t="s">
        <v>162</v>
      </c>
      <c r="K245" s="43" t="s">
        <v>162</v>
      </c>
      <c r="N245" s="48"/>
      <c r="O245" s="43" t="s">
        <v>113</v>
      </c>
      <c r="Q245" s="43">
        <v>2022</v>
      </c>
      <c r="T245" s="43" t="s">
        <v>163</v>
      </c>
      <c r="U245" s="43" t="s">
        <v>164</v>
      </c>
      <c r="V245" s="43" t="s">
        <v>527</v>
      </c>
      <c r="W245" s="43" t="s">
        <v>115</v>
      </c>
      <c r="X245" s="43" t="s">
        <v>165</v>
      </c>
      <c r="Y245" s="43">
        <v>0.41673700000000002</v>
      </c>
      <c r="Z245" s="43" t="s">
        <v>136</v>
      </c>
      <c r="AA245" s="43" t="s">
        <v>118</v>
      </c>
      <c r="AF245" s="43">
        <v>0.43326299999999995</v>
      </c>
      <c r="AG245" s="43" t="s">
        <v>119</v>
      </c>
      <c r="AN245" s="50">
        <v>1968.0000000000002</v>
      </c>
      <c r="AP245" s="19"/>
      <c r="AQ245" s="19"/>
      <c r="AR24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0.30050615368239469</v>
      </c>
      <c r="AS24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1.0060317810130059</v>
      </c>
      <c r="AT24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4.0000000000000036E-2</v>
      </c>
      <c r="AU24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1.2063562026011887E-2</v>
      </c>
      <c r="AV24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0.57048254248104047</v>
      </c>
      <c r="AW245" s="19">
        <f>IFERROR(Table1[[#This Row],[* Practice Efficiency]]*Table1[[#This Row],[* Load Before Treatment (kg/yr)]],"")</f>
        <v>0.1714335145839308</v>
      </c>
      <c r="AX245" s="100">
        <v>0</v>
      </c>
      <c r="AY245" s="44" t="s">
        <v>121</v>
      </c>
      <c r="BA245" s="101">
        <v>1</v>
      </c>
      <c r="BB24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0.1714335145839308</v>
      </c>
      <c r="BC245" s="44"/>
      <c r="BD245" s="44"/>
      <c r="BJ245" s="43"/>
      <c r="BK245" s="45"/>
      <c r="BL245" s="45"/>
      <c r="BM24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4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4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4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4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45" s="19" t="str">
        <f>IFERROR(Table1[[#This Row],[* Prior Practice Efficiency]]*Table1[[#This Row],[* Prior Load Before Treatment (kg/year)]],"")</f>
        <v/>
      </c>
      <c r="BT245" s="19" t="s">
        <v>529</v>
      </c>
    </row>
    <row r="246" spans="1:72">
      <c r="A246" s="43" t="s">
        <v>564</v>
      </c>
      <c r="B246" s="43" t="s">
        <v>565</v>
      </c>
      <c r="C246" s="43" t="s">
        <v>109</v>
      </c>
      <c r="D246" s="43" t="s">
        <v>110</v>
      </c>
      <c r="G246" s="44">
        <v>0.03</v>
      </c>
      <c r="H246" s="44">
        <v>0.04</v>
      </c>
      <c r="I246" s="44">
        <v>0.22</v>
      </c>
      <c r="J246" s="43" t="s">
        <v>566</v>
      </c>
      <c r="K246" s="43" t="s">
        <v>112</v>
      </c>
      <c r="N246" s="48"/>
      <c r="O246" s="43" t="s">
        <v>113</v>
      </c>
      <c r="Q246" s="43">
        <v>2022</v>
      </c>
      <c r="U246" s="43" t="s">
        <v>567</v>
      </c>
      <c r="V246" s="43" t="s">
        <v>568</v>
      </c>
      <c r="W246" s="43" t="s">
        <v>115</v>
      </c>
      <c r="X246" s="43" t="s">
        <v>124</v>
      </c>
      <c r="Y246" s="43">
        <v>0.16</v>
      </c>
      <c r="Z246" s="43" t="s">
        <v>136</v>
      </c>
      <c r="AA246" s="43" t="s">
        <v>118</v>
      </c>
      <c r="AF246" s="43">
        <v>0.06</v>
      </c>
      <c r="AG246" s="43" t="s">
        <v>119</v>
      </c>
      <c r="AM246"/>
      <c r="AN246" s="50">
        <v>152.46</v>
      </c>
      <c r="AP246" s="19"/>
      <c r="AQ246" s="19"/>
      <c r="AR24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0.10368797205149896</v>
      </c>
      <c r="AS24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0.25524556084879385</v>
      </c>
      <c r="AT24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4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0.2762278042439692</v>
      </c>
      <c r="AV24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3.1049112169758766E-2</v>
      </c>
      <c r="AW246" s="19">
        <f>IFERROR(Table1[[#This Row],[* Practice Efficiency]]*Table1[[#This Row],[* Load Before Treatment (kg/yr)]],"")</f>
        <v>3.2194194748818034E-3</v>
      </c>
      <c r="AX246" s="100">
        <v>0</v>
      </c>
      <c r="AY246" s="44" t="s">
        <v>121</v>
      </c>
      <c r="BA246" s="101">
        <v>1</v>
      </c>
      <c r="BB24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3.2194194748818034E-3</v>
      </c>
      <c r="BC246" s="44"/>
      <c r="BD246" s="44"/>
      <c r="BJ246" s="43"/>
      <c r="BK246" s="45"/>
      <c r="BL246" s="45"/>
      <c r="BM24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4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4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4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4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46" s="19" t="str">
        <f>IFERROR(Table1[[#This Row],[* Prior Practice Efficiency]]*Table1[[#This Row],[* Prior Load Before Treatment (kg/year)]],"")</f>
        <v/>
      </c>
      <c r="BT246" s="19" t="s">
        <v>569</v>
      </c>
    </row>
    <row r="247" spans="1:72">
      <c r="A247" s="43" t="s">
        <v>570</v>
      </c>
      <c r="B247" s="43" t="s">
        <v>565</v>
      </c>
      <c r="C247" s="43" t="s">
        <v>109</v>
      </c>
      <c r="D247" s="43" t="s">
        <v>110</v>
      </c>
      <c r="G247" s="44">
        <v>0.05</v>
      </c>
      <c r="H247" s="44">
        <v>0.02</v>
      </c>
      <c r="I247" s="44">
        <v>0.28000000000000003</v>
      </c>
      <c r="J247" s="43" t="s">
        <v>566</v>
      </c>
      <c r="K247" s="43" t="s">
        <v>129</v>
      </c>
      <c r="N247" s="48"/>
      <c r="O247" s="43" t="s">
        <v>113</v>
      </c>
      <c r="Q247" s="43">
        <v>2022</v>
      </c>
      <c r="U247" s="43" t="s">
        <v>567</v>
      </c>
      <c r="V247" s="43" t="s">
        <v>568</v>
      </c>
      <c r="W247" s="43" t="s">
        <v>115</v>
      </c>
      <c r="X247" s="43" t="s">
        <v>124</v>
      </c>
      <c r="Y247" s="43">
        <v>0.19</v>
      </c>
      <c r="Z247" s="43" t="s">
        <v>146</v>
      </c>
      <c r="AA247" s="43" t="s">
        <v>118</v>
      </c>
      <c r="AF247" s="43">
        <v>0.09</v>
      </c>
      <c r="AG247" s="43" t="s">
        <v>119</v>
      </c>
      <c r="AM247"/>
      <c r="AN247" s="50">
        <v>145.30724999999998</v>
      </c>
      <c r="AP247" s="19"/>
      <c r="AQ247" s="19"/>
      <c r="AR24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0.18748429175175774</v>
      </c>
      <c r="AS24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0.20467989388737204</v>
      </c>
      <c r="AT247"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47"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2.3399469436860137E-2</v>
      </c>
      <c r="AV24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2.0935978777474405E-2</v>
      </c>
      <c r="AW247" s="19">
        <f>IFERROR(Table1[[#This Row],[* Practice Efficiency]]*Table1[[#This Row],[* Load Before Treatment (kg/yr)]],"")</f>
        <v>3.9251671532246199E-3</v>
      </c>
      <c r="AX247" s="100">
        <v>0</v>
      </c>
      <c r="AY247" s="44" t="s">
        <v>121</v>
      </c>
      <c r="BA247" s="101">
        <v>1</v>
      </c>
      <c r="BB24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3.9251671532246199E-3</v>
      </c>
      <c r="BC247" s="44"/>
      <c r="BD247" s="44"/>
      <c r="BJ247" s="43"/>
      <c r="BK247" s="45"/>
      <c r="BL247" s="45"/>
      <c r="BM24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4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4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4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4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47" s="19" t="str">
        <f>IFERROR(Table1[[#This Row],[* Prior Practice Efficiency]]*Table1[[#This Row],[* Prior Load Before Treatment (kg/year)]],"")</f>
        <v/>
      </c>
      <c r="BT247" s="19" t="s">
        <v>569</v>
      </c>
    </row>
    <row r="248" spans="1:72">
      <c r="A248" s="43" t="s">
        <v>326</v>
      </c>
      <c r="B248" s="43" t="s">
        <v>327</v>
      </c>
      <c r="C248" s="43" t="s">
        <v>109</v>
      </c>
      <c r="D248" s="43" t="s">
        <v>110</v>
      </c>
      <c r="I248" s="44">
        <v>5.81</v>
      </c>
      <c r="J248" s="43" t="s">
        <v>162</v>
      </c>
      <c r="K248" s="67" t="s">
        <v>162</v>
      </c>
      <c r="N248" s="48"/>
      <c r="O248" s="43" t="s">
        <v>113</v>
      </c>
      <c r="Q248" s="43">
        <v>2013</v>
      </c>
      <c r="T248" s="43" t="s">
        <v>328</v>
      </c>
      <c r="U248" s="43" t="s">
        <v>164</v>
      </c>
      <c r="V248" s="43" t="str">
        <f>IFERROR(VLOOKUP(Table1[[#This Row],[LC TMDL Drainage Area]],Dropdowns!$P$3:$Q$23,2,FALSE),"")</f>
        <v>St. Albans Bay</v>
      </c>
      <c r="W248" s="43" t="s">
        <v>115</v>
      </c>
      <c r="X248" s="43" t="s">
        <v>329</v>
      </c>
      <c r="Y248" s="43">
        <v>1.58</v>
      </c>
      <c r="Z248" s="43" t="s">
        <v>136</v>
      </c>
      <c r="AA248" s="43" t="s">
        <v>118</v>
      </c>
      <c r="AF248" s="43">
        <v>4.2300000000000004</v>
      </c>
      <c r="AG248" s="43" t="s">
        <v>119</v>
      </c>
      <c r="AH248"/>
      <c r="AI248"/>
      <c r="AJ248"/>
      <c r="AK248"/>
      <c r="AL248"/>
      <c r="AM248"/>
      <c r="AN248" s="59">
        <v>8359</v>
      </c>
      <c r="AO248" s="43" t="s">
        <v>330</v>
      </c>
      <c r="AP248" s="79" t="s">
        <v>166</v>
      </c>
      <c r="AQ248" s="79" t="s">
        <v>166</v>
      </c>
      <c r="AR24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1.1393270163632785</v>
      </c>
      <c r="AS24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0.87770327279897153</v>
      </c>
      <c r="AT24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7.0000000000000062E-2</v>
      </c>
      <c r="AU24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0.38851636399485756</v>
      </c>
      <c r="AV24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0.75719614547964009</v>
      </c>
      <c r="AW248" s="19">
        <f>IFERROR(Table1[[#This Row],[* Practice Efficiency]]*Table1[[#This Row],[* Load Before Treatment (kg/yr)]],"")</f>
        <v>0.86269402523109329</v>
      </c>
      <c r="AX248" s="100">
        <f>Table1[[#This Row],[Manually entered practice effiency ]]*Table1[[#This Row],[* Load Before Treatment (kg/yr)]]</f>
        <v>0</v>
      </c>
      <c r="AY248" s="43" t="s">
        <v>121</v>
      </c>
      <c r="BA248" s="101">
        <v>1</v>
      </c>
      <c r="BB24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0.86269402523109329</v>
      </c>
      <c r="BC248" s="44"/>
      <c r="BD248" s="44"/>
      <c r="BJ248" s="43"/>
      <c r="BK248" s="45"/>
      <c r="BL248" s="45"/>
      <c r="BM24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4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4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4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4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48" s="19" t="str">
        <f>IFERROR(Table1[[#This Row],[* Prior Practice Efficiency]]*Table1[[#This Row],[* Prior Load Before Treatment (kg/year)]],"")</f>
        <v/>
      </c>
      <c r="BT248" s="19" t="s">
        <v>331</v>
      </c>
    </row>
    <row r="249" spans="1:72">
      <c r="A249" s="43" t="s">
        <v>332</v>
      </c>
      <c r="B249" s="43" t="s">
        <v>327</v>
      </c>
      <c r="C249" s="43" t="s">
        <v>109</v>
      </c>
      <c r="D249" s="43" t="s">
        <v>110</v>
      </c>
      <c r="I249" s="44">
        <v>2.5</v>
      </c>
      <c r="J249" s="43" t="s">
        <v>162</v>
      </c>
      <c r="K249" s="67" t="s">
        <v>162</v>
      </c>
      <c r="N249" s="48"/>
      <c r="O249" s="43" t="s">
        <v>113</v>
      </c>
      <c r="Q249" s="43">
        <v>2013</v>
      </c>
      <c r="T249" s="43" t="s">
        <v>328</v>
      </c>
      <c r="U249" s="43" t="s">
        <v>164</v>
      </c>
      <c r="V249" s="43" t="str">
        <f>IFERROR(VLOOKUP(Table1[[#This Row],[LC TMDL Drainage Area]],Dropdowns!$P$3:$Q$23,2,FALSE),"")</f>
        <v>St. Albans Bay</v>
      </c>
      <c r="W249" s="43" t="s">
        <v>115</v>
      </c>
      <c r="X249" s="43" t="s">
        <v>329</v>
      </c>
      <c r="Y249" s="43">
        <v>0.65</v>
      </c>
      <c r="Z249" s="43" t="s">
        <v>136</v>
      </c>
      <c r="AA249" s="43" t="s">
        <v>118</v>
      </c>
      <c r="AF249" s="43">
        <v>1.85</v>
      </c>
      <c r="AG249" s="43" t="s">
        <v>119</v>
      </c>
      <c r="AH249"/>
      <c r="AI249"/>
      <c r="AJ249"/>
      <c r="AK249"/>
      <c r="AL249"/>
      <c r="AM249"/>
      <c r="AN249" s="59">
        <v>5029</v>
      </c>
      <c r="AO249" s="43" t="s">
        <v>330</v>
      </c>
      <c r="AP249" s="79" t="s">
        <v>196</v>
      </c>
      <c r="AQ249" s="79" t="s">
        <v>196</v>
      </c>
      <c r="AR24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0.46871048141527283</v>
      </c>
      <c r="AS24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1.1246318956457371</v>
      </c>
      <c r="AT249"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6.9999999999999951E-2</v>
      </c>
      <c r="AU24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0.24926379129147413</v>
      </c>
      <c r="AV24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0.84744846539040308</v>
      </c>
      <c r="AW249" s="19">
        <f>IFERROR(Table1[[#This Row],[* Practice Efficiency]]*Table1[[#This Row],[* Load Before Treatment (kg/yr)]],"")</f>
        <v>0.39720797818776998</v>
      </c>
      <c r="AX249" s="100">
        <f>Table1[[#This Row],[Manually entered practice effiency ]]*Table1[[#This Row],[* Load Before Treatment (kg/yr)]]</f>
        <v>0</v>
      </c>
      <c r="AY249" s="43" t="s">
        <v>121</v>
      </c>
      <c r="BA249" s="101">
        <v>1</v>
      </c>
      <c r="BB24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0.39720797818776998</v>
      </c>
      <c r="BC249" s="44"/>
      <c r="BD249" s="44"/>
      <c r="BJ249" s="43"/>
      <c r="BK249" s="45"/>
      <c r="BL249" s="45"/>
      <c r="BM24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4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4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4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4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49" s="19" t="str">
        <f>IFERROR(Table1[[#This Row],[* Prior Practice Efficiency]]*Table1[[#This Row],[* Prior Load Before Treatment (kg/year)]],"")</f>
        <v/>
      </c>
      <c r="BT249" s="19" t="s">
        <v>333</v>
      </c>
    </row>
    <row r="250" spans="1:72">
      <c r="A250" s="43" t="s">
        <v>334</v>
      </c>
      <c r="B250" s="43" t="s">
        <v>327</v>
      </c>
      <c r="C250" s="43" t="s">
        <v>109</v>
      </c>
      <c r="D250" s="43" t="s">
        <v>110</v>
      </c>
      <c r="I250" s="44">
        <v>1.9</v>
      </c>
      <c r="J250" s="43" t="s">
        <v>162</v>
      </c>
      <c r="K250" s="67" t="s">
        <v>162</v>
      </c>
      <c r="N250" s="48"/>
      <c r="O250" s="43" t="s">
        <v>113</v>
      </c>
      <c r="Q250" s="43">
        <v>2013</v>
      </c>
      <c r="T250" s="43" t="s">
        <v>163</v>
      </c>
      <c r="U250" s="43" t="s">
        <v>164</v>
      </c>
      <c r="V250" s="43" t="str">
        <f>IFERROR(VLOOKUP(Table1[[#This Row],[LC TMDL Drainage Area]],Dropdowns!$P$3:$Q$23,2,FALSE),"")</f>
        <v>St. Albans Bay</v>
      </c>
      <c r="W250" s="43" t="s">
        <v>115</v>
      </c>
      <c r="X250" s="43" t="s">
        <v>329</v>
      </c>
      <c r="Y250" s="43">
        <v>0.89</v>
      </c>
      <c r="Z250" s="43" t="s">
        <v>136</v>
      </c>
      <c r="AA250" s="43" t="s">
        <v>118</v>
      </c>
      <c r="AF250" s="43">
        <v>1.01</v>
      </c>
      <c r="AG250" s="43" t="s">
        <v>119</v>
      </c>
      <c r="AH250"/>
      <c r="AI250"/>
      <c r="AJ250"/>
      <c r="AK250"/>
      <c r="AL250"/>
      <c r="AM250"/>
      <c r="AN250" s="59">
        <v>4381</v>
      </c>
      <c r="AO250" s="43" t="s">
        <v>330</v>
      </c>
      <c r="AP250" s="79" t="s">
        <v>166</v>
      </c>
      <c r="AQ250" s="79" t="s">
        <v>166</v>
      </c>
      <c r="AR25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0.64177281301475819</v>
      </c>
      <c r="AS25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1.0231893097722478</v>
      </c>
      <c r="AT250"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6.9999999999999951E-2</v>
      </c>
      <c r="AU25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4.6378619544495514E-2</v>
      </c>
      <c r="AV25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0.83324650336811468</v>
      </c>
      <c r="AW250" s="19">
        <f>IFERROR(Table1[[#This Row],[* Practice Efficiency]]*Table1[[#This Row],[* Load Before Treatment (kg/yr)]],"")</f>
        <v>0.53475495240126614</v>
      </c>
      <c r="AX250" s="100">
        <f>Table1[[#This Row],[Manually entered practice effiency ]]*Table1[[#This Row],[* Load Before Treatment (kg/yr)]]</f>
        <v>0</v>
      </c>
      <c r="AY250" s="43" t="s">
        <v>121</v>
      </c>
      <c r="BA250" s="101">
        <v>1</v>
      </c>
      <c r="BB25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0.53475495240126614</v>
      </c>
      <c r="BC250" s="44"/>
      <c r="BD250" s="44"/>
      <c r="BJ250" s="43"/>
      <c r="BK250" s="45"/>
      <c r="BL250" s="45"/>
      <c r="BM25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5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5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5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5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50" s="19" t="str">
        <f>IFERROR(Table1[[#This Row],[* Prior Practice Efficiency]]*Table1[[#This Row],[* Prior Load Before Treatment (kg/year)]],"")</f>
        <v/>
      </c>
      <c r="BT250" s="19" t="s">
        <v>335</v>
      </c>
    </row>
    <row r="251" spans="1:72">
      <c r="A251" s="43" t="s">
        <v>160</v>
      </c>
      <c r="B251" s="43" t="s">
        <v>161</v>
      </c>
      <c r="C251" s="43" t="s">
        <v>109</v>
      </c>
      <c r="D251" s="43" t="s">
        <v>110</v>
      </c>
      <c r="J251" s="43" t="s">
        <v>162</v>
      </c>
      <c r="K251" s="67" t="s">
        <v>162</v>
      </c>
      <c r="N251" s="48"/>
      <c r="O251" s="43" t="s">
        <v>113</v>
      </c>
      <c r="Q251" s="43">
        <v>2010</v>
      </c>
      <c r="T251" s="43" t="s">
        <v>163</v>
      </c>
      <c r="U251" s="43" t="s">
        <v>164</v>
      </c>
      <c r="V251" s="43" t="str">
        <f>IFERROR(VLOOKUP(Table1[[#This Row],[LC TMDL Drainage Area]],Dropdowns!$P$3:$Q$23,2,FALSE),"")</f>
        <v>St. Albans Bay</v>
      </c>
      <c r="W251" s="43" t="s">
        <v>115</v>
      </c>
      <c r="X251" s="43" t="s">
        <v>165</v>
      </c>
      <c r="Y251" s="43">
        <v>1.7</v>
      </c>
      <c r="Z251" s="43" t="s">
        <v>146</v>
      </c>
      <c r="AA251" s="43" t="s">
        <v>118</v>
      </c>
      <c r="AB251" s="93"/>
      <c r="AC251" s="93"/>
      <c r="AD251" s="93"/>
      <c r="AE251" s="93"/>
      <c r="AF251" s="43">
        <v>1.0000000000000001E-5</v>
      </c>
      <c r="AG251" s="43" t="s">
        <v>119</v>
      </c>
      <c r="AH251"/>
      <c r="AI251"/>
      <c r="AJ251"/>
      <c r="AK251"/>
      <c r="AL251"/>
      <c r="AM251"/>
      <c r="AN251" s="149">
        <v>0</v>
      </c>
      <c r="AP251" s="79" t="s">
        <v>166</v>
      </c>
      <c r="AQ251" s="79" t="s">
        <v>166</v>
      </c>
      <c r="AR25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1.780767671024627</v>
      </c>
      <c r="AS25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251"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0.19</v>
      </c>
      <c r="AU25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5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51" s="19" t="str">
        <f>IFERROR(Table1[[#This Row],[* Practice Efficiency]]*Table1[[#This Row],[* Load Before Treatment (kg/yr)]],"")</f>
        <v/>
      </c>
      <c r="AX251" s="100">
        <f>Table1[[#This Row],[Manually entered practice effiency ]]*Table1[[#This Row],[* Load Before Treatment (kg/yr)]]</f>
        <v>0</v>
      </c>
      <c r="AY251" s="43" t="s">
        <v>121</v>
      </c>
      <c r="BA251" s="101">
        <v>1</v>
      </c>
      <c r="BB25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51" s="44"/>
      <c r="BD251" s="44"/>
      <c r="BJ251" s="43"/>
      <c r="BK251" s="45"/>
      <c r="BL251" s="45"/>
      <c r="BM25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5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5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5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5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51" s="19" t="str">
        <f>IFERROR(Table1[[#This Row],[* Prior Practice Efficiency]]*Table1[[#This Row],[* Prior Load Before Treatment (kg/year)]],"")</f>
        <v/>
      </c>
      <c r="BT251" s="19" t="s">
        <v>167</v>
      </c>
    </row>
    <row r="252" spans="1:72">
      <c r="A252" s="43" t="s">
        <v>336</v>
      </c>
      <c r="B252" s="43" t="s">
        <v>337</v>
      </c>
      <c r="C252" s="43" t="s">
        <v>109</v>
      </c>
      <c r="D252" s="43" t="s">
        <v>110</v>
      </c>
      <c r="G252" s="44">
        <v>0</v>
      </c>
      <c r="H252" s="44">
        <v>0.57999999999999996</v>
      </c>
      <c r="I252" s="44">
        <v>0.51</v>
      </c>
      <c r="J252" s="43" t="s">
        <v>338</v>
      </c>
      <c r="K252" s="67" t="s">
        <v>112</v>
      </c>
      <c r="N252" s="48"/>
      <c r="O252" s="43" t="s">
        <v>113</v>
      </c>
      <c r="Q252" s="43">
        <v>2013</v>
      </c>
      <c r="U252" s="43" t="s">
        <v>164</v>
      </c>
      <c r="V252" s="43" t="str">
        <f>IFERROR(VLOOKUP(Table1[[#This Row],[LC TMDL Drainage Area]],Dropdowns!$P$3:$Q$23,2,FALSE),"")</f>
        <v>St. Albans Bay</v>
      </c>
      <c r="W252" s="43" t="s">
        <v>115</v>
      </c>
      <c r="X252" s="43" t="s">
        <v>124</v>
      </c>
      <c r="Y252" s="43">
        <v>0.28000000000000003</v>
      </c>
      <c r="Z252" s="43" t="s">
        <v>136</v>
      </c>
      <c r="AA252" s="43" t="s">
        <v>118</v>
      </c>
      <c r="AB252" s="93"/>
      <c r="AC252" s="93"/>
      <c r="AD252" s="93"/>
      <c r="AE252" s="93"/>
      <c r="AF252" s="43">
        <v>0.23</v>
      </c>
      <c r="AG252" s="43" t="s">
        <v>119</v>
      </c>
      <c r="AH252">
        <v>2</v>
      </c>
      <c r="AI252">
        <v>0.16</v>
      </c>
      <c r="AJ252">
        <v>2</v>
      </c>
      <c r="AK252">
        <v>510</v>
      </c>
      <c r="AL252"/>
      <c r="AM252"/>
      <c r="AN252" s="50">
        <v>189.31199999999998</v>
      </c>
      <c r="AP252" s="79" t="s">
        <v>120</v>
      </c>
      <c r="AQ252" s="79" t="s">
        <v>120</v>
      </c>
      <c r="AR25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0.20190605353273292</v>
      </c>
      <c r="AS25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0.17825545469425677</v>
      </c>
      <c r="AT252"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25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0.78255454694256765</v>
      </c>
      <c r="AV25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2.3476636408277032E-2</v>
      </c>
      <c r="AW252" s="19">
        <f>IFERROR(Table1[[#This Row],[* Practice Efficiency]]*Table1[[#This Row],[* Load Before Treatment (kg/yr)]],"")</f>
        <v>4.7400750074180894E-3</v>
      </c>
      <c r="AX252" s="100">
        <f>Table1[[#This Row],[Manually entered practice effiency ]]*Table1[[#This Row],[* Load Before Treatment (kg/yr)]]</f>
        <v>0</v>
      </c>
      <c r="AY252" s="43" t="s">
        <v>121</v>
      </c>
      <c r="BA252" s="101">
        <v>1</v>
      </c>
      <c r="BB25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4.7400750074180894E-3</v>
      </c>
      <c r="BC252" s="44"/>
      <c r="BD252" s="44"/>
      <c r="BJ252" s="43"/>
      <c r="BK252" s="45"/>
      <c r="BL252" s="45"/>
      <c r="BM25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5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5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5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5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52" s="19" t="str">
        <f>IFERROR(Table1[[#This Row],[* Prior Practice Efficiency]]*Table1[[#This Row],[* Prior Load Before Treatment (kg/year)]],"")</f>
        <v/>
      </c>
      <c r="BT252" s="19" t="s">
        <v>339</v>
      </c>
    </row>
    <row r="253" spans="1:72">
      <c r="A253" s="43" t="s">
        <v>340</v>
      </c>
      <c r="B253" s="43" t="s">
        <v>337</v>
      </c>
      <c r="C253" s="43" t="s">
        <v>109</v>
      </c>
      <c r="D253" s="43" t="s">
        <v>110</v>
      </c>
      <c r="G253" s="44">
        <v>0</v>
      </c>
      <c r="H253" s="44">
        <v>0.57999999999999996</v>
      </c>
      <c r="I253" s="44">
        <v>1.1100000000000001</v>
      </c>
      <c r="J253" s="43" t="s">
        <v>338</v>
      </c>
      <c r="K253" s="67" t="s">
        <v>112</v>
      </c>
      <c r="N253" s="48"/>
      <c r="O253" s="43" t="s">
        <v>113</v>
      </c>
      <c r="Q253" s="43">
        <v>2013</v>
      </c>
      <c r="U253" s="43" t="s">
        <v>164</v>
      </c>
      <c r="V253" s="43" t="str">
        <f>IFERROR(VLOOKUP(Table1[[#This Row],[LC TMDL Drainage Area]],Dropdowns!$P$3:$Q$23,2,FALSE),"")</f>
        <v>St. Albans Bay</v>
      </c>
      <c r="W253" s="43" t="s">
        <v>115</v>
      </c>
      <c r="X253" s="43" t="s">
        <v>124</v>
      </c>
      <c r="Y253" s="43">
        <v>0.08</v>
      </c>
      <c r="Z253" s="43" t="s">
        <v>136</v>
      </c>
      <c r="AA253" s="43" t="s">
        <v>118</v>
      </c>
      <c r="AB253" s="93"/>
      <c r="AC253" s="93"/>
      <c r="AD253" s="93"/>
      <c r="AE253" s="93"/>
      <c r="AF253" s="43">
        <v>1.03</v>
      </c>
      <c r="AG253" s="43" t="s">
        <v>119</v>
      </c>
      <c r="AH253">
        <v>5</v>
      </c>
      <c r="AI253">
        <v>7.0000000000000007E-2</v>
      </c>
      <c r="AJ253">
        <v>2</v>
      </c>
      <c r="AK253">
        <v>300</v>
      </c>
      <c r="AL253"/>
      <c r="AM253"/>
      <c r="AN253" s="50">
        <v>107.94</v>
      </c>
      <c r="AP253" s="79" t="s">
        <v>120</v>
      </c>
      <c r="AQ253" s="79" t="s">
        <v>120</v>
      </c>
      <c r="AR25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5.7687443866495117E-2</v>
      </c>
      <c r="AS25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0.20621533918717713</v>
      </c>
      <c r="AT253"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53"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3.1076695935885607E-2</v>
      </c>
      <c r="AV25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2.1243067837435424E-2</v>
      </c>
      <c r="AW253" s="19">
        <f>IFERROR(Table1[[#This Row],[* Practice Efficiency]]*Table1[[#This Row],[* Load Before Treatment (kg/yr)]],"")</f>
        <v>1.2254582834242038E-3</v>
      </c>
      <c r="AX253" s="100">
        <f>Table1[[#This Row],[Manually entered practice effiency ]]*Table1[[#This Row],[* Load Before Treatment (kg/yr)]]</f>
        <v>0</v>
      </c>
      <c r="AY253" s="43" t="s">
        <v>121</v>
      </c>
      <c r="BA253" s="101">
        <v>1</v>
      </c>
      <c r="BB25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1.2254582834242038E-3</v>
      </c>
      <c r="BC253" s="44"/>
      <c r="BD253" s="44"/>
      <c r="BJ253" s="43"/>
      <c r="BK253" s="45"/>
      <c r="BL253" s="45"/>
      <c r="BM25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5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5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5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5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53" s="19" t="str">
        <f>IFERROR(Table1[[#This Row],[* Prior Practice Efficiency]]*Table1[[#This Row],[* Prior Load Before Treatment (kg/year)]],"")</f>
        <v/>
      </c>
      <c r="BT253" s="19" t="s">
        <v>341</v>
      </c>
    </row>
    <row r="254" spans="1:72">
      <c r="A254" s="43" t="s">
        <v>342</v>
      </c>
      <c r="B254" s="43" t="s">
        <v>337</v>
      </c>
      <c r="C254" s="43" t="s">
        <v>109</v>
      </c>
      <c r="D254" s="43" t="s">
        <v>110</v>
      </c>
      <c r="G254" s="44">
        <v>0</v>
      </c>
      <c r="H254" s="44">
        <v>0.57999999999999996</v>
      </c>
      <c r="I254" s="44">
        <v>0.23</v>
      </c>
      <c r="J254" s="43" t="s">
        <v>338</v>
      </c>
      <c r="K254" s="67" t="s">
        <v>112</v>
      </c>
      <c r="N254" s="48"/>
      <c r="O254" s="43" t="s">
        <v>113</v>
      </c>
      <c r="Q254" s="43">
        <v>2013</v>
      </c>
      <c r="U254" s="43" t="s">
        <v>164</v>
      </c>
      <c r="V254" s="43" t="str">
        <f>IFERROR(VLOOKUP(Table1[[#This Row],[LC TMDL Drainage Area]],Dropdowns!$P$3:$Q$23,2,FALSE),"")</f>
        <v>St. Albans Bay</v>
      </c>
      <c r="W254" s="43" t="s">
        <v>115</v>
      </c>
      <c r="X254" s="43" t="s">
        <v>124</v>
      </c>
      <c r="Y254" s="43">
        <v>0.15</v>
      </c>
      <c r="Z254" s="43" t="s">
        <v>136</v>
      </c>
      <c r="AA254" s="43" t="s">
        <v>118</v>
      </c>
      <c r="AB254" s="93"/>
      <c r="AC254" s="93"/>
      <c r="AD254" s="93"/>
      <c r="AE254" s="93"/>
      <c r="AF254" s="43">
        <v>0.08</v>
      </c>
      <c r="AG254" s="43" t="s">
        <v>119</v>
      </c>
      <c r="AH254">
        <v>8</v>
      </c>
      <c r="AI254">
        <v>7.0000000000000007E-2</v>
      </c>
      <c r="AJ254">
        <v>2</v>
      </c>
      <c r="AK254">
        <v>200</v>
      </c>
      <c r="AL254"/>
      <c r="AM254"/>
      <c r="AN254" s="50">
        <v>113.96000000000002</v>
      </c>
      <c r="AP254" s="79" t="s">
        <v>343</v>
      </c>
      <c r="AQ254" s="79" t="s">
        <v>343</v>
      </c>
      <c r="AR25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0.10816395724967834</v>
      </c>
      <c r="AS254"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0.20266173848500807</v>
      </c>
      <c r="AT254"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3.9999999999999994E-2</v>
      </c>
      <c r="AU254"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1.3308692425040292E-2</v>
      </c>
      <c r="AV254"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2.0532347697001612E-2</v>
      </c>
      <c r="AW254" s="19">
        <f>IFERROR(Table1[[#This Row],[* Practice Efficiency]]*Table1[[#This Row],[* Load Before Treatment (kg/yr)]],"")</f>
        <v>2.2208599785340137E-3</v>
      </c>
      <c r="AX254" s="100">
        <f>Table1[[#This Row],[Manually entered practice effiency ]]*Table1[[#This Row],[* Load Before Treatment (kg/yr)]]</f>
        <v>0</v>
      </c>
      <c r="AY254" s="43" t="s">
        <v>121</v>
      </c>
      <c r="BA254" s="101">
        <v>1</v>
      </c>
      <c r="BB254"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2.2208599785340137E-3</v>
      </c>
      <c r="BC254" s="44"/>
      <c r="BD254" s="44"/>
      <c r="BJ254" s="43"/>
      <c r="BK254" s="45"/>
      <c r="BL254" s="45"/>
      <c r="BM25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54"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5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5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5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54" s="19" t="str">
        <f>IFERROR(Table1[[#This Row],[* Prior Practice Efficiency]]*Table1[[#This Row],[* Prior Load Before Treatment (kg/year)]],"")</f>
        <v/>
      </c>
      <c r="BT254" s="19" t="s">
        <v>344</v>
      </c>
    </row>
    <row r="255" spans="1:72">
      <c r="A255" s="43" t="s">
        <v>345</v>
      </c>
      <c r="B255" s="43" t="s">
        <v>337</v>
      </c>
      <c r="C255" s="43" t="s">
        <v>109</v>
      </c>
      <c r="D255" s="43" t="s">
        <v>110</v>
      </c>
      <c r="G255" s="44">
        <v>0</v>
      </c>
      <c r="H255" s="44">
        <v>0.34</v>
      </c>
      <c r="I255" s="44">
        <v>0.76</v>
      </c>
      <c r="J255" s="43" t="s">
        <v>338</v>
      </c>
      <c r="K255" s="67" t="s">
        <v>129</v>
      </c>
      <c r="N255" s="48"/>
      <c r="O255" s="43" t="s">
        <v>113</v>
      </c>
      <c r="Q255" s="43">
        <v>2013</v>
      </c>
      <c r="U255" s="43" t="s">
        <v>164</v>
      </c>
      <c r="V255" s="43" t="str">
        <f>IFERROR(VLOOKUP(Table1[[#This Row],[LC TMDL Drainage Area]],Dropdowns!$P$3:$Q$23,2,FALSE),"")</f>
        <v>St. Albans Bay</v>
      </c>
      <c r="W255" s="43" t="s">
        <v>115</v>
      </c>
      <c r="X255" s="43" t="s">
        <v>124</v>
      </c>
      <c r="Y255" s="43">
        <v>0.34</v>
      </c>
      <c r="Z255" s="43" t="s">
        <v>136</v>
      </c>
      <c r="AA255" s="43" t="s">
        <v>118</v>
      </c>
      <c r="AB255" s="93"/>
      <c r="AC255" s="93"/>
      <c r="AD255" s="93"/>
      <c r="AE255" s="93"/>
      <c r="AF255" s="43">
        <v>0.42</v>
      </c>
      <c r="AG255" s="43" t="s">
        <v>119</v>
      </c>
      <c r="AH255">
        <v>8</v>
      </c>
      <c r="AI255">
        <v>0.09</v>
      </c>
      <c r="AJ255">
        <v>2</v>
      </c>
      <c r="AK255">
        <v>340</v>
      </c>
      <c r="AL255"/>
      <c r="AM255"/>
      <c r="AN255" s="50">
        <v>250.30799999999999</v>
      </c>
      <c r="AP255" s="79" t="s">
        <v>343</v>
      </c>
      <c r="AQ255" s="79" t="s">
        <v>343</v>
      </c>
      <c r="AR25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0.24517163643260426</v>
      </c>
      <c r="AS25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0.18931897187843669</v>
      </c>
      <c r="AT25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25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0.89318971878436682</v>
      </c>
      <c r="AV25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2.6795691563531007E-2</v>
      </c>
      <c r="AW255" s="19">
        <f>IFERROR(Table1[[#This Row],[* Practice Efficiency]]*Table1[[#This Row],[* Load Before Treatment (kg/yr)]],"")</f>
        <v>6.5695435499742248E-3</v>
      </c>
      <c r="AX255" s="100">
        <f>Table1[[#This Row],[Manually entered practice effiency ]]*Table1[[#This Row],[* Load Before Treatment (kg/yr)]]</f>
        <v>0</v>
      </c>
      <c r="AY255" s="43" t="s">
        <v>121</v>
      </c>
      <c r="BA255" s="101">
        <v>1</v>
      </c>
      <c r="BB25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6.5695435499742248E-3</v>
      </c>
      <c r="BC255" s="44"/>
      <c r="BD255" s="44"/>
      <c r="BJ255" s="43"/>
      <c r="BK255" s="45"/>
      <c r="BL255" s="45"/>
      <c r="BM25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5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5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5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5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55" s="19" t="str">
        <f>IFERROR(Table1[[#This Row],[* Prior Practice Efficiency]]*Table1[[#This Row],[* Prior Load Before Treatment (kg/year)]],"")</f>
        <v/>
      </c>
      <c r="BT255" s="19" t="s">
        <v>346</v>
      </c>
    </row>
    <row r="256" spans="1:72">
      <c r="A256" s="43" t="s">
        <v>347</v>
      </c>
      <c r="B256" s="43" t="s">
        <v>337</v>
      </c>
      <c r="C256" s="43" t="s">
        <v>109</v>
      </c>
      <c r="D256" s="43" t="s">
        <v>110</v>
      </c>
      <c r="G256" s="44">
        <v>0</v>
      </c>
      <c r="H256" s="44">
        <v>0.57999999999999996</v>
      </c>
      <c r="I256" s="44">
        <v>0.13</v>
      </c>
      <c r="J256" s="43" t="s">
        <v>338</v>
      </c>
      <c r="K256" s="67" t="s">
        <v>112</v>
      </c>
      <c r="N256" s="48"/>
      <c r="O256" s="43" t="s">
        <v>113</v>
      </c>
      <c r="Q256" s="43">
        <v>2013</v>
      </c>
      <c r="U256" s="43" t="s">
        <v>164</v>
      </c>
      <c r="V256" s="43" t="str">
        <f>IFERROR(VLOOKUP(Table1[[#This Row],[LC TMDL Drainage Area]],Dropdowns!$P$3:$Q$23,2,FALSE),"")</f>
        <v>St. Albans Bay</v>
      </c>
      <c r="W256" s="43" t="s">
        <v>115</v>
      </c>
      <c r="X256" s="43" t="s">
        <v>124</v>
      </c>
      <c r="Y256" s="43">
        <v>7.0000000000000007E-2</v>
      </c>
      <c r="Z256" s="43" t="s">
        <v>241</v>
      </c>
      <c r="AA256" s="43" t="s">
        <v>118</v>
      </c>
      <c r="AB256" s="93"/>
      <c r="AC256" s="93"/>
      <c r="AD256" s="93"/>
      <c r="AE256" s="93"/>
      <c r="AF256" s="43">
        <v>0.06</v>
      </c>
      <c r="AG256" s="43" t="s">
        <v>119</v>
      </c>
      <c r="AH256">
        <v>8</v>
      </c>
      <c r="AI256">
        <v>0.04</v>
      </c>
      <c r="AJ256">
        <v>2</v>
      </c>
      <c r="AK256">
        <v>140</v>
      </c>
      <c r="AL256"/>
      <c r="AM256"/>
      <c r="AN256" s="50">
        <v>45.247999999999998</v>
      </c>
      <c r="AP256" s="79" t="s">
        <v>120</v>
      </c>
      <c r="AQ256" s="79" t="s">
        <v>120</v>
      </c>
      <c r="AR25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3.5065510102621711E-2</v>
      </c>
      <c r="AS25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0.17040443937395641</v>
      </c>
      <c r="AT256"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3.0000000000000002E-2</v>
      </c>
      <c r="AU256"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0.70404439373956407</v>
      </c>
      <c r="AV25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2.1121331812186922E-2</v>
      </c>
      <c r="AW256" s="19">
        <f>IFERROR(Table1[[#This Row],[* Practice Efficiency]]*Table1[[#This Row],[* Load Before Treatment (kg/yr)]],"")</f>
        <v>7.4063027404106582E-4</v>
      </c>
      <c r="AX256" s="100">
        <f>Table1[[#This Row],[Manually entered practice effiency ]]*Table1[[#This Row],[* Load Before Treatment (kg/yr)]]</f>
        <v>0</v>
      </c>
      <c r="AY256" s="43" t="s">
        <v>121</v>
      </c>
      <c r="BA256" s="101">
        <v>1</v>
      </c>
      <c r="BB25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7.4063027404106582E-4</v>
      </c>
      <c r="BC256" s="44"/>
      <c r="BD256" s="44"/>
      <c r="BJ256" s="43"/>
      <c r="BK256" s="45"/>
      <c r="BL256" s="45"/>
      <c r="BM25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5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5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5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5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56" s="19" t="str">
        <f>IFERROR(Table1[[#This Row],[* Prior Practice Efficiency]]*Table1[[#This Row],[* Prior Load Before Treatment (kg/year)]],"")</f>
        <v/>
      </c>
      <c r="BT256" s="19" t="s">
        <v>348</v>
      </c>
    </row>
    <row r="257" spans="1:72">
      <c r="B257" s="43" t="s">
        <v>625</v>
      </c>
      <c r="C257" s="43" t="s">
        <v>109</v>
      </c>
      <c r="D257" s="43" t="s">
        <v>110</v>
      </c>
      <c r="G257" s="44">
        <v>0.63</v>
      </c>
      <c r="H257" s="44">
        <v>1.43</v>
      </c>
      <c r="I257" s="44">
        <v>3.47</v>
      </c>
      <c r="J257" s="43" t="s">
        <v>626</v>
      </c>
      <c r="K257" s="43" t="s">
        <v>112</v>
      </c>
      <c r="N257" s="48"/>
      <c r="O257" s="43" t="s">
        <v>598</v>
      </c>
      <c r="P257" s="43">
        <v>2026</v>
      </c>
      <c r="U257" s="43" t="s">
        <v>627</v>
      </c>
      <c r="V257" s="43" t="s">
        <v>509</v>
      </c>
      <c r="W257" s="43" t="s">
        <v>115</v>
      </c>
      <c r="X257" s="43" t="s">
        <v>141</v>
      </c>
      <c r="Y257" s="43">
        <v>2.06</v>
      </c>
      <c r="Z257" s="43" t="s">
        <v>136</v>
      </c>
      <c r="AA257" s="43" t="s">
        <v>118</v>
      </c>
      <c r="AF257" s="43">
        <v>1.0000000000000001E-5</v>
      </c>
      <c r="AG257" s="43" t="s">
        <v>119</v>
      </c>
      <c r="AM257">
        <v>0.36</v>
      </c>
      <c r="AN257" s="50">
        <v>0</v>
      </c>
      <c r="AP257" s="19"/>
      <c r="AQ257" s="19"/>
      <c r="AR25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1.3821125954907134</v>
      </c>
      <c r="AS25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257"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25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5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57" s="19" t="str">
        <f>IFERROR(Table1[[#This Row],[* Practice Efficiency]]*Table1[[#This Row],[* Load Before Treatment (kg/yr)]],"")</f>
        <v/>
      </c>
      <c r="AX257" s="100">
        <f>Table1[[#This Row],[Manually entered practice effiency ]]*Table1[[#This Row],[* Load Before Treatment (kg/yr)]]</f>
        <v>0.49756053437665682</v>
      </c>
      <c r="AY257" s="44" t="s">
        <v>121</v>
      </c>
      <c r="BA257" s="101">
        <v>1</v>
      </c>
      <c r="BB25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0.49756053437665682</v>
      </c>
      <c r="BC257" s="44"/>
      <c r="BD257" s="44"/>
      <c r="BJ257" s="43"/>
      <c r="BK257" s="45"/>
      <c r="BL257" s="45"/>
      <c r="BM25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5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5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5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5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57" s="19" t="str">
        <f>IFERROR(Table1[[#This Row],[* Prior Practice Efficiency]]*Table1[[#This Row],[* Prior Load Before Treatment (kg/year)]],"")</f>
        <v/>
      </c>
      <c r="BT257" s="19" t="s">
        <v>510</v>
      </c>
    </row>
    <row r="258" spans="1:72">
      <c r="B258" s="43" t="s">
        <v>625</v>
      </c>
      <c r="C258" s="43" t="s">
        <v>109</v>
      </c>
      <c r="D258" s="43" t="s">
        <v>110</v>
      </c>
      <c r="G258" s="44">
        <v>2.33</v>
      </c>
      <c r="H258" s="44">
        <v>5.6</v>
      </c>
      <c r="I258" s="44">
        <v>14</v>
      </c>
      <c r="J258" s="43" t="s">
        <v>626</v>
      </c>
      <c r="K258" s="43" t="s">
        <v>129</v>
      </c>
      <c r="N258" s="48"/>
      <c r="O258" s="43" t="s">
        <v>598</v>
      </c>
      <c r="P258" s="43">
        <v>2026</v>
      </c>
      <c r="U258" s="43" t="s">
        <v>627</v>
      </c>
      <c r="V258" s="43" t="s">
        <v>509</v>
      </c>
      <c r="W258" s="43" t="s">
        <v>115</v>
      </c>
      <c r="X258" s="43" t="s">
        <v>141</v>
      </c>
      <c r="Y258" s="43">
        <v>7.93</v>
      </c>
      <c r="Z258" s="43" t="s">
        <v>136</v>
      </c>
      <c r="AA258" s="43" t="s">
        <v>118</v>
      </c>
      <c r="AF258" s="43">
        <v>1.0000000000000001E-5</v>
      </c>
      <c r="AG258" s="43" t="s">
        <v>119</v>
      </c>
      <c r="AM258">
        <v>0.36</v>
      </c>
      <c r="AN258" s="50">
        <v>0</v>
      </c>
      <c r="AP258" s="19"/>
      <c r="AQ258" s="19"/>
      <c r="AR25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5.3204625641948331</v>
      </c>
      <c r="AS25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258"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25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5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58" s="19" t="str">
        <f>IFERROR(Table1[[#This Row],[* Practice Efficiency]]*Table1[[#This Row],[* Load Before Treatment (kg/yr)]],"")</f>
        <v/>
      </c>
      <c r="AX258" s="100">
        <f>Table1[[#This Row],[Manually entered practice effiency ]]*Table1[[#This Row],[* Load Before Treatment (kg/yr)]]</f>
        <v>1.9153665231101398</v>
      </c>
      <c r="AY258" s="44" t="s">
        <v>121</v>
      </c>
      <c r="BA258" s="101">
        <v>1</v>
      </c>
      <c r="BB25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1.9153665231101398</v>
      </c>
      <c r="BC258" s="44"/>
      <c r="BD258" s="44"/>
      <c r="BJ258" s="43"/>
      <c r="BK258" s="45"/>
      <c r="BL258" s="45"/>
      <c r="BM25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5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5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5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5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58" s="19" t="str">
        <f>IFERROR(Table1[[#This Row],[* Prior Practice Efficiency]]*Table1[[#This Row],[* Prior Load Before Treatment (kg/year)]],"")</f>
        <v/>
      </c>
      <c r="BT258" s="19" t="s">
        <v>510</v>
      </c>
    </row>
    <row r="259" spans="1:72">
      <c r="B259" s="43" t="s">
        <v>625</v>
      </c>
      <c r="C259" s="43" t="s">
        <v>109</v>
      </c>
      <c r="D259" s="43" t="s">
        <v>110</v>
      </c>
      <c r="G259" s="44">
        <v>0.31</v>
      </c>
      <c r="H259" s="44">
        <v>0.34</v>
      </c>
      <c r="I259" s="44">
        <v>1.02</v>
      </c>
      <c r="J259" s="43" t="s">
        <v>626</v>
      </c>
      <c r="K259" s="43" t="s">
        <v>148</v>
      </c>
      <c r="N259" s="48"/>
      <c r="O259" s="43" t="s">
        <v>598</v>
      </c>
      <c r="P259" s="43">
        <v>2026</v>
      </c>
      <c r="U259" s="43" t="s">
        <v>627</v>
      </c>
      <c r="V259" s="43" t="s">
        <v>509</v>
      </c>
      <c r="W259" s="43" t="s">
        <v>115</v>
      </c>
      <c r="X259" s="43" t="s">
        <v>141</v>
      </c>
      <c r="Y259" s="43">
        <v>0.65</v>
      </c>
      <c r="Z259" s="43" t="s">
        <v>136</v>
      </c>
      <c r="AA259" s="43" t="s">
        <v>118</v>
      </c>
      <c r="AF259" s="43">
        <v>1.0000000000000001E-5</v>
      </c>
      <c r="AG259" s="43" t="s">
        <v>119</v>
      </c>
      <c r="AM259">
        <v>0.36</v>
      </c>
      <c r="AN259" s="50">
        <v>0</v>
      </c>
      <c r="AP259" s="19"/>
      <c r="AQ259" s="19"/>
      <c r="AR25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0.43610348886842898</v>
      </c>
      <c r="AS25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259"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25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5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59" s="19" t="str">
        <f>IFERROR(Table1[[#This Row],[* Practice Efficiency]]*Table1[[#This Row],[* Load Before Treatment (kg/yr)]],"")</f>
        <v/>
      </c>
      <c r="AX259" s="100">
        <f>Table1[[#This Row],[Manually entered practice effiency ]]*Table1[[#This Row],[* Load Before Treatment (kg/yr)]]</f>
        <v>0.15699725599263442</v>
      </c>
      <c r="AY259" s="44" t="s">
        <v>121</v>
      </c>
      <c r="BA259" s="101">
        <v>1</v>
      </c>
      <c r="BB25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0.15699725599263442</v>
      </c>
      <c r="BC259" s="44"/>
      <c r="BD259" s="44"/>
      <c r="BJ259" s="43"/>
      <c r="BK259" s="45"/>
      <c r="BL259" s="45"/>
      <c r="BM25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5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5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5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5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59" s="19" t="str">
        <f>IFERROR(Table1[[#This Row],[* Prior Practice Efficiency]]*Table1[[#This Row],[* Prior Load Before Treatment (kg/year)]],"")</f>
        <v/>
      </c>
      <c r="BT259" s="19" t="s">
        <v>510</v>
      </c>
    </row>
    <row r="260" spans="1:72">
      <c r="B260" s="43" t="s">
        <v>625</v>
      </c>
      <c r="C260" s="43" t="s">
        <v>109</v>
      </c>
      <c r="D260" s="43" t="s">
        <v>110</v>
      </c>
      <c r="G260" s="44">
        <v>2.48</v>
      </c>
      <c r="H260" s="44">
        <v>0</v>
      </c>
      <c r="I260" s="44">
        <v>19.28</v>
      </c>
      <c r="J260" s="43" t="s">
        <v>626</v>
      </c>
      <c r="K260" s="43" t="s">
        <v>150</v>
      </c>
      <c r="N260" s="48"/>
      <c r="O260" s="43" t="s">
        <v>598</v>
      </c>
      <c r="P260" s="43">
        <v>2026</v>
      </c>
      <c r="U260" s="43" t="s">
        <v>206</v>
      </c>
      <c r="V260" s="43" t="s">
        <v>509</v>
      </c>
      <c r="W260" s="43" t="s">
        <v>115</v>
      </c>
      <c r="X260" s="43" t="s">
        <v>141</v>
      </c>
      <c r="Y260" s="43">
        <v>2.48</v>
      </c>
      <c r="Z260" s="43" t="s">
        <v>136</v>
      </c>
      <c r="AA260" s="43" t="s">
        <v>118</v>
      </c>
      <c r="AF260" s="43">
        <v>1.0000000000000001E-5</v>
      </c>
      <c r="AG260" s="43" t="s">
        <v>119</v>
      </c>
      <c r="AM260">
        <v>0.49</v>
      </c>
      <c r="AN260" s="50">
        <v>0</v>
      </c>
      <c r="AP260" s="19"/>
      <c r="AQ260" s="19"/>
      <c r="AR26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1.6438220096189486</v>
      </c>
      <c r="AS26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260"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26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6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60" s="19" t="str">
        <f>IFERROR(Table1[[#This Row],[* Practice Efficiency]]*Table1[[#This Row],[* Load Before Treatment (kg/yr)]],"")</f>
        <v/>
      </c>
      <c r="AX260" s="100">
        <v>0.80547278471328487</v>
      </c>
      <c r="AY260" s="44" t="s">
        <v>121</v>
      </c>
      <c r="BA260" s="101">
        <v>1</v>
      </c>
      <c r="BB26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0.80547278471328487</v>
      </c>
      <c r="BC260" s="44"/>
      <c r="BD260" s="44"/>
      <c r="BJ260" s="43"/>
      <c r="BK260" s="45"/>
      <c r="BL260" s="45"/>
      <c r="BM26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6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6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6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6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60" s="19" t="str">
        <f>IFERROR(Table1[[#This Row],[* Prior Practice Efficiency]]*Table1[[#This Row],[* Prior Load Before Treatment (kg/year)]],"")</f>
        <v/>
      </c>
      <c r="BT260" s="19" t="s">
        <v>510</v>
      </c>
    </row>
    <row r="261" spans="1:72">
      <c r="B261" s="43" t="s">
        <v>625</v>
      </c>
      <c r="C261" s="43" t="s">
        <v>109</v>
      </c>
      <c r="D261" s="43" t="s">
        <v>110</v>
      </c>
      <c r="G261" s="44">
        <v>2.48</v>
      </c>
      <c r="H261" s="44">
        <v>0</v>
      </c>
      <c r="I261" s="44">
        <v>0.69</v>
      </c>
      <c r="J261" s="43" t="s">
        <v>626</v>
      </c>
      <c r="K261" s="43" t="s">
        <v>150</v>
      </c>
      <c r="N261" s="48"/>
      <c r="O261" s="43" t="s">
        <v>598</v>
      </c>
      <c r="P261" s="43">
        <v>2026</v>
      </c>
      <c r="U261" s="43" t="s">
        <v>206</v>
      </c>
      <c r="V261" s="43" t="s">
        <v>509</v>
      </c>
      <c r="W261" s="43" t="s">
        <v>115</v>
      </c>
      <c r="X261" s="43" t="s">
        <v>201</v>
      </c>
      <c r="Y261" s="43">
        <v>0.49</v>
      </c>
      <c r="Z261" s="43" t="s">
        <v>136</v>
      </c>
      <c r="AA261" s="43" t="s">
        <v>118</v>
      </c>
      <c r="AF261" s="43">
        <v>0.2</v>
      </c>
      <c r="AG261" s="43" t="s">
        <v>119</v>
      </c>
      <c r="AM261"/>
      <c r="AN261" s="50">
        <v>4826.5</v>
      </c>
      <c r="AP261" s="19"/>
      <c r="AQ261" s="19"/>
      <c r="AR26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0.32478741319084065</v>
      </c>
      <c r="AS26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2</v>
      </c>
      <c r="AT261"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26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6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0.57999999999999996</v>
      </c>
      <c r="AW261" s="19">
        <f>IFERROR(Table1[[#This Row],[* Practice Efficiency]]*Table1[[#This Row],[* Load Before Treatment (kg/yr)]],"")</f>
        <v>0.18837669965068757</v>
      </c>
      <c r="AX261" s="100">
        <v>0</v>
      </c>
      <c r="AY261" s="44" t="s">
        <v>121</v>
      </c>
      <c r="BA261" s="101">
        <v>1</v>
      </c>
      <c r="BB26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0.18837669965068757</v>
      </c>
      <c r="BC261" s="44"/>
      <c r="BD261" s="44"/>
      <c r="BJ261" s="43"/>
      <c r="BK261" s="45"/>
      <c r="BL261" s="45"/>
      <c r="BM26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6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6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6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6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61" s="19" t="str">
        <f>IFERROR(Table1[[#This Row],[* Prior Practice Efficiency]]*Table1[[#This Row],[* Prior Load Before Treatment (kg/year)]],"")</f>
        <v/>
      </c>
      <c r="BT261" s="19" t="s">
        <v>510</v>
      </c>
    </row>
    <row r="262" spans="1:72">
      <c r="B262" s="43" t="s">
        <v>625</v>
      </c>
      <c r="C262" s="43" t="s">
        <v>109</v>
      </c>
      <c r="D262" s="43" t="s">
        <v>110</v>
      </c>
      <c r="G262" s="44">
        <v>0.45</v>
      </c>
      <c r="H262" s="44">
        <v>0</v>
      </c>
      <c r="I262" s="44">
        <v>3.23</v>
      </c>
      <c r="J262" s="43" t="s">
        <v>626</v>
      </c>
      <c r="K262" s="43" t="s">
        <v>154</v>
      </c>
      <c r="N262" s="48"/>
      <c r="O262" s="43" t="s">
        <v>598</v>
      </c>
      <c r="P262" s="43">
        <v>2026</v>
      </c>
      <c r="U262" s="43" t="s">
        <v>567</v>
      </c>
      <c r="V262" s="43" t="s">
        <v>568</v>
      </c>
      <c r="W262" s="43" t="s">
        <v>115</v>
      </c>
      <c r="X262" s="43" t="s">
        <v>141</v>
      </c>
      <c r="Y262" s="43">
        <v>0.45</v>
      </c>
      <c r="Z262" s="43" t="s">
        <v>136</v>
      </c>
      <c r="AA262" s="43" t="s">
        <v>118</v>
      </c>
      <c r="AF262" s="43">
        <v>1.0000000000000001E-5</v>
      </c>
      <c r="AG262" s="43" t="s">
        <v>119</v>
      </c>
      <c r="AM262">
        <v>0.49</v>
      </c>
      <c r="AN262" s="50"/>
      <c r="AP262" s="19"/>
      <c r="AQ262" s="19"/>
      <c r="AR26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0.29162242139484085</v>
      </c>
      <c r="AS26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262"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26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6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62" s="19" t="str">
        <f>IFERROR(Table1[[#This Row],[* Practice Efficiency]]*Table1[[#This Row],[* Load Before Treatment (kg/yr)]],"")</f>
        <v/>
      </c>
      <c r="AX262" s="100">
        <v>0.14289498648347201</v>
      </c>
      <c r="AY262" s="44" t="s">
        <v>121</v>
      </c>
      <c r="BA262" s="101">
        <v>1</v>
      </c>
      <c r="BB26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0.14289498648347201</v>
      </c>
      <c r="BC262" s="44"/>
      <c r="BD262" s="44"/>
      <c r="BJ262" s="43"/>
      <c r="BK262" s="45"/>
      <c r="BL262" s="45"/>
      <c r="BM26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6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6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6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6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62" s="19" t="str">
        <f>IFERROR(Table1[[#This Row],[* Prior Practice Efficiency]]*Table1[[#This Row],[* Prior Load Before Treatment (kg/year)]],"")</f>
        <v/>
      </c>
      <c r="BT262" s="19" t="s">
        <v>510</v>
      </c>
    </row>
    <row r="263" spans="1:72">
      <c r="B263" s="43" t="s">
        <v>625</v>
      </c>
      <c r="C263" s="43" t="s">
        <v>109</v>
      </c>
      <c r="D263" s="43" t="s">
        <v>110</v>
      </c>
      <c r="G263" s="44">
        <v>0.08</v>
      </c>
      <c r="H263" s="44">
        <v>0</v>
      </c>
      <c r="I263" s="44">
        <v>0.44</v>
      </c>
      <c r="J263" s="43" t="s">
        <v>626</v>
      </c>
      <c r="K263" s="43" t="s">
        <v>157</v>
      </c>
      <c r="N263" s="48"/>
      <c r="O263" s="43" t="s">
        <v>598</v>
      </c>
      <c r="P263" s="43">
        <v>2026</v>
      </c>
      <c r="U263" s="43" t="s">
        <v>567</v>
      </c>
      <c r="V263" s="43" t="s">
        <v>568</v>
      </c>
      <c r="W263" s="43" t="s">
        <v>115</v>
      </c>
      <c r="X263" s="43" t="s">
        <v>141</v>
      </c>
      <c r="Y263" s="43">
        <v>0.08</v>
      </c>
      <c r="Z263" s="43" t="s">
        <v>136</v>
      </c>
      <c r="AA263" s="43" t="s">
        <v>118</v>
      </c>
      <c r="AF263" s="43">
        <v>1.0000000000000001E-5</v>
      </c>
      <c r="AG263" s="43" t="s">
        <v>119</v>
      </c>
      <c r="AM263">
        <v>0.49</v>
      </c>
      <c r="AN263" s="50"/>
      <c r="AP263" s="19"/>
      <c r="AQ263" s="19"/>
      <c r="AR26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5.1843986025749481E-2</v>
      </c>
      <c r="AS26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263"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26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6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63" s="19" t="str">
        <f>IFERROR(Table1[[#This Row],[* Practice Efficiency]]*Table1[[#This Row],[* Load Before Treatment (kg/yr)]],"")</f>
        <v/>
      </c>
      <c r="AX263" s="100">
        <v>2.5403553152617244E-2</v>
      </c>
      <c r="AY263" s="44" t="s">
        <v>121</v>
      </c>
      <c r="BA263" s="101">
        <v>1</v>
      </c>
      <c r="BB26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2.5403553152617244E-2</v>
      </c>
      <c r="BC263" s="44"/>
      <c r="BD263" s="44"/>
      <c r="BJ263" s="43"/>
      <c r="BK263" s="45"/>
      <c r="BL263" s="45"/>
      <c r="BM26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6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6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6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6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63" s="19" t="str">
        <f>IFERROR(Table1[[#This Row],[* Prior Practice Efficiency]]*Table1[[#This Row],[* Prior Load Before Treatment (kg/year)]],"")</f>
        <v/>
      </c>
      <c r="BT263" s="19" t="s">
        <v>510</v>
      </c>
    </row>
    <row r="264" spans="1:72">
      <c r="A264" s="156"/>
      <c r="B264" s="156" t="s">
        <v>640</v>
      </c>
      <c r="C264" s="156" t="s">
        <v>109</v>
      </c>
      <c r="D264" s="156" t="s">
        <v>110</v>
      </c>
      <c r="E264" s="157">
        <v>44.503770000000003</v>
      </c>
      <c r="F264" s="157">
        <v>-73.153876999999994</v>
      </c>
      <c r="G264" s="158">
        <v>0</v>
      </c>
      <c r="H264" s="158">
        <v>0</v>
      </c>
      <c r="I264" s="200">
        <v>4.9701269999999997</v>
      </c>
      <c r="J264" s="156" t="s">
        <v>162</v>
      </c>
      <c r="K264" s="156" t="s">
        <v>162</v>
      </c>
      <c r="L264" s="156"/>
      <c r="M264" s="156"/>
      <c r="N264" s="159"/>
      <c r="O264" s="156" t="s">
        <v>589</v>
      </c>
      <c r="P264" s="156">
        <v>2032</v>
      </c>
      <c r="Q264" s="156"/>
      <c r="R264" s="156"/>
      <c r="S264" s="156"/>
      <c r="T264" s="156" t="s">
        <v>641</v>
      </c>
      <c r="U264" s="156" t="s">
        <v>134</v>
      </c>
      <c r="V264" s="156" t="s">
        <v>492</v>
      </c>
      <c r="W264" s="156" t="s">
        <v>115</v>
      </c>
      <c r="X264" s="156" t="s">
        <v>170</v>
      </c>
      <c r="Y264" s="156">
        <v>3.893221</v>
      </c>
      <c r="Z264" s="156" t="s">
        <v>136</v>
      </c>
      <c r="AA264" s="156" t="s">
        <v>118</v>
      </c>
      <c r="AB264" s="156"/>
      <c r="AC264" s="156"/>
      <c r="AD264" s="156"/>
      <c r="AE264" s="156"/>
      <c r="AF264" s="156">
        <v>1.0769059999999997</v>
      </c>
      <c r="AG264" s="156" t="s">
        <v>119</v>
      </c>
      <c r="AH264" s="156"/>
      <c r="AI264" s="156"/>
      <c r="AJ264" s="156"/>
      <c r="AK264" s="156"/>
      <c r="AL264" s="156"/>
      <c r="AM264" s="156"/>
      <c r="AN264" s="160">
        <v>18513</v>
      </c>
      <c r="AO264" s="156" t="s">
        <v>209</v>
      </c>
      <c r="AP264" s="161"/>
      <c r="AQ264" s="161"/>
      <c r="AR264" s="161">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2.5569914634718733</v>
      </c>
      <c r="AS264" s="161">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1.1989008503629084</v>
      </c>
      <c r="AT264" s="161">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2.0000000000000018E-2</v>
      </c>
      <c r="AU264" s="161">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0.39780170072581678</v>
      </c>
      <c r="AV264" s="162">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0.96795603401451635</v>
      </c>
      <c r="AW264" s="161">
        <f>IFERROR(Table1[[#This Row],[* Practice Efficiency]]*Table1[[#This Row],[* Load Before Treatment (kg/yr)]],"")</f>
        <v>2.4750553159912085</v>
      </c>
      <c r="AX264" s="163">
        <v>0</v>
      </c>
      <c r="AY264" s="158" t="s">
        <v>121</v>
      </c>
      <c r="AZ264" s="158"/>
      <c r="BA264" s="164">
        <v>1</v>
      </c>
      <c r="BB264" s="168">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2.4750553159912085</v>
      </c>
      <c r="BC264" s="158"/>
      <c r="BD264" s="158"/>
      <c r="BE264" s="158"/>
      <c r="BF264" s="158"/>
      <c r="BG264" s="158"/>
      <c r="BH264" s="158"/>
      <c r="BI264" s="158"/>
      <c r="BJ264" s="156"/>
      <c r="BK264" s="165"/>
      <c r="BL264" s="165"/>
      <c r="BM264" s="161" t="s">
        <v>642</v>
      </c>
      <c r="BN264" s="161">
        <v>0</v>
      </c>
      <c r="BO264" s="161" t="s">
        <v>642</v>
      </c>
      <c r="BP264" s="161" t="s">
        <v>642</v>
      </c>
      <c r="BQ264" s="162" t="s">
        <v>642</v>
      </c>
      <c r="BR264" s="161" t="s">
        <v>642</v>
      </c>
      <c r="BS264" s="161"/>
      <c r="BT264" s="161"/>
    </row>
    <row r="265" spans="1:72">
      <c r="B265" s="43" t="s">
        <v>609</v>
      </c>
      <c r="C265" s="43" t="s">
        <v>109</v>
      </c>
      <c r="D265" s="43" t="s">
        <v>110</v>
      </c>
      <c r="E265" s="47">
        <v>44.797331</v>
      </c>
      <c r="F265" s="47">
        <v>-73.052788000000007</v>
      </c>
      <c r="G265" s="44">
        <v>0</v>
      </c>
      <c r="H265" s="44">
        <v>0</v>
      </c>
      <c r="I265" s="44">
        <v>34.262712000000001</v>
      </c>
      <c r="J265" s="43" t="s">
        <v>162</v>
      </c>
      <c r="K265" s="43" t="s">
        <v>162</v>
      </c>
      <c r="N265" s="48"/>
      <c r="O265" s="43" t="s">
        <v>598</v>
      </c>
      <c r="P265" s="43">
        <v>2022</v>
      </c>
      <c r="T265" s="43" t="s">
        <v>163</v>
      </c>
      <c r="U265" s="43" t="s">
        <v>164</v>
      </c>
      <c r="V265" s="43" t="s">
        <v>527</v>
      </c>
      <c r="W265" s="43" t="s">
        <v>115</v>
      </c>
      <c r="X265" s="43" t="s">
        <v>528</v>
      </c>
      <c r="Y265" s="43">
        <v>3.3582860000000001</v>
      </c>
      <c r="Z265" s="43" t="s">
        <v>136</v>
      </c>
      <c r="AA265" s="43" t="s">
        <v>118</v>
      </c>
      <c r="AF265" s="43">
        <v>30.904426000000001</v>
      </c>
      <c r="AG265" s="43" t="s">
        <v>119</v>
      </c>
      <c r="AN265" s="50">
        <v>55756.800000000003</v>
      </c>
      <c r="AP265" s="19"/>
      <c r="AQ265" s="19"/>
      <c r="AR26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2.421636688907955</v>
      </c>
      <c r="AS265"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1.1531277661654475</v>
      </c>
      <c r="AT265"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1.0000000000000009E-2</v>
      </c>
      <c r="AU265"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0.30625553233089509</v>
      </c>
      <c r="AV265"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0.11306255532330896</v>
      </c>
      <c r="AW265" s="19">
        <f>IFERROR(Table1[[#This Row],[* Practice Efficiency]]*Table1[[#This Row],[* Load Before Treatment (kg/yr)]],"")</f>
        <v>0.2737964321126104</v>
      </c>
      <c r="AX265" s="100">
        <v>0</v>
      </c>
      <c r="AY265" s="44" t="s">
        <v>121</v>
      </c>
      <c r="BA265" s="101">
        <v>1</v>
      </c>
      <c r="BB265"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0.2737964321126104</v>
      </c>
      <c r="BC265" s="44"/>
      <c r="BD265" s="44"/>
      <c r="BJ265" s="43"/>
      <c r="BK265" s="45"/>
      <c r="BL265" s="45"/>
      <c r="BM26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65"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6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6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6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65" s="19" t="str">
        <f>IFERROR(Table1[[#This Row],[* Prior Practice Efficiency]]*Table1[[#This Row],[* Prior Load Before Treatment (kg/year)]],"")</f>
        <v/>
      </c>
      <c r="BT265" s="19" t="s">
        <v>602</v>
      </c>
    </row>
    <row r="266" spans="1:72">
      <c r="B266" s="43" t="s">
        <v>485</v>
      </c>
      <c r="C266" s="43" t="s">
        <v>109</v>
      </c>
      <c r="D266" s="43" t="s">
        <v>110</v>
      </c>
      <c r="G266" s="44">
        <v>0.05</v>
      </c>
      <c r="H266" s="44">
        <v>0</v>
      </c>
      <c r="I266" s="44">
        <v>0.33</v>
      </c>
      <c r="J266" s="43" t="s">
        <v>486</v>
      </c>
      <c r="K266" s="67" t="s">
        <v>112</v>
      </c>
      <c r="N266" s="48"/>
      <c r="O266" s="43" t="s">
        <v>113</v>
      </c>
      <c r="Q266" s="43">
        <v>2019</v>
      </c>
      <c r="U266" s="43" t="s">
        <v>177</v>
      </c>
      <c r="V266" s="43" t="str">
        <f>IFERROR(VLOOKUP(Table1[[#This Row],[LC TMDL Drainage Area]],Dropdowns!$P$3:$Q$23,2,FALSE),"")</f>
        <v>Otter Creek</v>
      </c>
      <c r="W266" s="43" t="s">
        <v>115</v>
      </c>
      <c r="X266" s="43" t="s">
        <v>141</v>
      </c>
      <c r="Y266" s="43">
        <v>0.05</v>
      </c>
      <c r="Z266" s="43" t="s">
        <v>117</v>
      </c>
      <c r="AA266" s="43" t="s">
        <v>118</v>
      </c>
      <c r="AB266" s="93"/>
      <c r="AC266" s="93"/>
      <c r="AD266" s="93"/>
      <c r="AE266" s="93"/>
      <c r="AF266" s="43">
        <v>0.28000000000000003</v>
      </c>
      <c r="AG266" s="43" t="s">
        <v>119</v>
      </c>
      <c r="AH266" s="195"/>
      <c r="AI266" s="195"/>
      <c r="AJ266"/>
      <c r="AK266"/>
      <c r="AL266"/>
      <c r="AM266">
        <v>0.49</v>
      </c>
      <c r="AN266" s="50">
        <v>0</v>
      </c>
      <c r="AP266" s="79" t="s">
        <v>343</v>
      </c>
      <c r="AQ266" s="79" t="s">
        <v>343</v>
      </c>
      <c r="AR26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4.0903358149458453E-2</v>
      </c>
      <c r="AS26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266"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26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66" s="150"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66" s="151" t="str">
        <f>IFERROR(Table1[[#This Row],[* Practice Efficiency]]*Table1[[#This Row],[* Load Before Treatment (kg/yr)]],"")</f>
        <v/>
      </c>
      <c r="AX266" s="100">
        <f>Table1[[#This Row],[Manually entered practice effiency ]]*Table1[[#This Row],[* Load Before Treatment (kg/yr)]]</f>
        <v>2.0042645493234642E-2</v>
      </c>
      <c r="AY266" s="43" t="s">
        <v>121</v>
      </c>
      <c r="BA266" s="101">
        <v>1</v>
      </c>
      <c r="BB26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2.0042645493234642E-2</v>
      </c>
      <c r="BC266" s="44"/>
      <c r="BD266" s="44"/>
      <c r="BJ266" s="43"/>
      <c r="BK266" s="45"/>
      <c r="BL266" s="45"/>
      <c r="BM26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6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6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6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6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66" s="19" t="str">
        <f>IFERROR(Table1[[#This Row],[* Prior Practice Efficiency]]*Table1[[#This Row],[* Prior Load Before Treatment (kg/year)]],"")</f>
        <v/>
      </c>
      <c r="BT266" s="19" t="s">
        <v>487</v>
      </c>
    </row>
    <row r="267" spans="1:72">
      <c r="A267" s="43" t="s">
        <v>488</v>
      </c>
      <c r="B267" s="43" t="s">
        <v>485</v>
      </c>
      <c r="C267" s="43" t="s">
        <v>109</v>
      </c>
      <c r="D267" s="43" t="s">
        <v>110</v>
      </c>
      <c r="G267" s="44">
        <v>0.05</v>
      </c>
      <c r="H267" s="44">
        <v>0</v>
      </c>
      <c r="I267" s="44">
        <v>0.33</v>
      </c>
      <c r="J267" s="43" t="s">
        <v>486</v>
      </c>
      <c r="K267" s="43" t="s">
        <v>112</v>
      </c>
      <c r="N267" s="48"/>
      <c r="O267" s="43" t="s">
        <v>113</v>
      </c>
      <c r="Q267" s="43">
        <v>2020</v>
      </c>
      <c r="U267" s="43" t="s">
        <v>177</v>
      </c>
      <c r="V267" s="43" t="s">
        <v>177</v>
      </c>
      <c r="W267" s="43" t="s">
        <v>115</v>
      </c>
      <c r="X267" s="43" t="s">
        <v>141</v>
      </c>
      <c r="Y267" s="43">
        <v>0.05</v>
      </c>
      <c r="Z267" s="43" t="s">
        <v>136</v>
      </c>
      <c r="AA267" s="43" t="s">
        <v>118</v>
      </c>
      <c r="AF267" s="43">
        <v>0.28000000000000003</v>
      </c>
      <c r="AG267" s="43" t="s">
        <v>119</v>
      </c>
      <c r="AM267" s="43">
        <v>0.36</v>
      </c>
      <c r="AN267" s="50"/>
      <c r="AP267" s="19"/>
      <c r="AQ267" s="19"/>
      <c r="AR26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3.430726757829166E-2</v>
      </c>
      <c r="AS26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26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6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6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67" s="19" t="str">
        <f>IFERROR(Table1[[#This Row],[* Practice Efficiency]]*Table1[[#This Row],[* Load Before Treatment (kg/yr)]],"")</f>
        <v/>
      </c>
      <c r="AX267" s="100">
        <v>1.2350616328184997E-2</v>
      </c>
      <c r="AY267" s="44" t="s">
        <v>121</v>
      </c>
      <c r="BA267" s="101">
        <v>1</v>
      </c>
      <c r="BB26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1.2350616328184997E-2</v>
      </c>
      <c r="BC267" s="44"/>
      <c r="BD267" s="44"/>
      <c r="BJ267" s="43"/>
      <c r="BK267" s="45"/>
      <c r="BL267" s="45"/>
      <c r="BM26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6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6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6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6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67" s="19" t="str">
        <f>IFERROR(Table1[[#This Row],[* Prior Practice Efficiency]]*Table1[[#This Row],[* Prior Load Before Treatment (kg/year)]],"")</f>
        <v/>
      </c>
      <c r="BT267" s="19"/>
    </row>
    <row r="268" spans="1:72">
      <c r="A268" s="43" t="s">
        <v>168</v>
      </c>
      <c r="B268" s="43" t="s">
        <v>169</v>
      </c>
      <c r="C268" s="43" t="s">
        <v>109</v>
      </c>
      <c r="D268" s="43" t="s">
        <v>110</v>
      </c>
      <c r="G268" s="44">
        <v>0</v>
      </c>
      <c r="H268" s="44">
        <v>0.74</v>
      </c>
      <c r="I268" s="44">
        <v>0.74</v>
      </c>
      <c r="J268" s="43" t="s">
        <v>162</v>
      </c>
      <c r="K268" s="67" t="s">
        <v>162</v>
      </c>
      <c r="N268" s="48"/>
      <c r="O268" s="43" t="s">
        <v>113</v>
      </c>
      <c r="Q268" s="43">
        <v>2010</v>
      </c>
      <c r="U268" s="43" t="s">
        <v>134</v>
      </c>
      <c r="V268" s="43" t="str">
        <f>IFERROR(VLOOKUP(Table1[[#This Row],[LC TMDL Drainage Area]],Dropdowns!$P$3:$Q$23,2,FALSE),"")</f>
        <v>Main Lake</v>
      </c>
      <c r="W268" s="43" t="s">
        <v>115</v>
      </c>
      <c r="X268" s="43" t="s">
        <v>170</v>
      </c>
      <c r="Y268" s="43">
        <v>0.74</v>
      </c>
      <c r="Z268" s="43" t="s">
        <v>171</v>
      </c>
      <c r="AA268" s="43" t="s">
        <v>118</v>
      </c>
      <c r="AB268" s="93"/>
      <c r="AC268" s="93"/>
      <c r="AD268" s="93"/>
      <c r="AE268" s="93"/>
      <c r="AF268" s="43">
        <v>1.0000000000000001E-5</v>
      </c>
      <c r="AG268" s="43" t="s">
        <v>119</v>
      </c>
      <c r="AH268">
        <v>2</v>
      </c>
      <c r="AI268">
        <v>0.5</v>
      </c>
      <c r="AJ268">
        <v>3</v>
      </c>
      <c r="AK268">
        <v>204</v>
      </c>
      <c r="AL268"/>
      <c r="AM268"/>
      <c r="AN268" s="50">
        <v>737.8</v>
      </c>
      <c r="AO268" s="43" t="s">
        <v>172</v>
      </c>
      <c r="AP268" s="79" t="s">
        <v>155</v>
      </c>
      <c r="AQ268" s="79" t="s">
        <v>155</v>
      </c>
      <c r="AR26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0.82639277919718634</v>
      </c>
      <c r="AS26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0.27466279175429964</v>
      </c>
      <c r="AT268" s="19">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0.26</v>
      </c>
      <c r="AU26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0.37331395877149814</v>
      </c>
      <c r="AV268"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0.36706162928058955</v>
      </c>
      <c r="AW268" s="19">
        <f>IFERROR(Table1[[#This Row],[* Practice Efficiency]]*Table1[[#This Row],[* Load Before Treatment (kg/yr)]],"")</f>
        <v>0.30333707995783371</v>
      </c>
      <c r="AX268" s="100">
        <f>Table1[[#This Row],[Manually entered practice effiency ]]*Table1[[#This Row],[* Load Before Treatment (kg/yr)]]</f>
        <v>0</v>
      </c>
      <c r="AY268" s="43" t="s">
        <v>121</v>
      </c>
      <c r="BA268" s="101">
        <v>1</v>
      </c>
      <c r="BB26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0.30333707995783371</v>
      </c>
      <c r="BC268" s="44"/>
      <c r="BD268" s="44"/>
      <c r="BJ268" s="43"/>
      <c r="BK268" s="45"/>
      <c r="BL268" s="45"/>
      <c r="BM26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6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6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6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6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68" s="19" t="str">
        <f>IFERROR(Table1[[#This Row],[* Prior Practice Efficiency]]*Table1[[#This Row],[* Prior Load Before Treatment (kg/year)]],"")</f>
        <v/>
      </c>
      <c r="BT268" s="19" t="s">
        <v>173</v>
      </c>
    </row>
    <row r="269" spans="1:72">
      <c r="A269" s="43" t="s">
        <v>571</v>
      </c>
      <c r="B269" s="43" t="s">
        <v>572</v>
      </c>
      <c r="C269" s="43" t="s">
        <v>109</v>
      </c>
      <c r="D269" s="43" t="s">
        <v>110</v>
      </c>
      <c r="G269" s="44">
        <v>2.5</v>
      </c>
      <c r="H269" s="44">
        <v>0</v>
      </c>
      <c r="I269" s="44">
        <v>5.01</v>
      </c>
      <c r="J269" s="43" t="s">
        <v>573</v>
      </c>
      <c r="K269" s="43" t="s">
        <v>112</v>
      </c>
      <c r="N269" s="48"/>
      <c r="O269" s="43" t="s">
        <v>113</v>
      </c>
      <c r="Q269" s="43">
        <v>2023</v>
      </c>
      <c r="U269" s="43" t="s">
        <v>134</v>
      </c>
      <c r="V269" s="43" t="s">
        <v>492</v>
      </c>
      <c r="W269" s="43" t="s">
        <v>115</v>
      </c>
      <c r="X269" s="43" t="s">
        <v>574</v>
      </c>
      <c r="Y269" s="43">
        <v>1.06</v>
      </c>
      <c r="Z269" s="43" t="s">
        <v>117</v>
      </c>
      <c r="AA269" s="43" t="s">
        <v>118</v>
      </c>
      <c r="AF269" s="43">
        <v>0.73</v>
      </c>
      <c r="AG269" s="43" t="s">
        <v>119</v>
      </c>
      <c r="AN269" s="50">
        <v>3125</v>
      </c>
      <c r="AP269" s="19"/>
      <c r="AQ269" s="19"/>
      <c r="AR26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0.85054813262544471</v>
      </c>
      <c r="AS26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0.71316896932644602</v>
      </c>
      <c r="AT269"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7.0000000000000007E-2</v>
      </c>
      <c r="AU26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0.56584484663223</v>
      </c>
      <c r="AV26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0.40960913926425613</v>
      </c>
      <c r="AW269" s="19">
        <f>IFERROR(Table1[[#This Row],[* Practice Efficiency]]*Table1[[#This Row],[* Load Before Treatment (kg/yr)]],"")</f>
        <v>0.34839228850752879</v>
      </c>
      <c r="AX269" s="100">
        <v>0</v>
      </c>
      <c r="AY269" s="44" t="s">
        <v>121</v>
      </c>
      <c r="BA269" s="154">
        <v>1</v>
      </c>
      <c r="BB26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0.34839228850752879</v>
      </c>
      <c r="BC269" s="44"/>
      <c r="BD269" s="44"/>
      <c r="BJ269" s="43"/>
      <c r="BK269" s="45"/>
      <c r="BL269" s="45"/>
      <c r="BM26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6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6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6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6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69" s="19" t="str">
        <f>IFERROR(Table1[[#This Row],[* Prior Practice Efficiency]]*Table1[[#This Row],[* Prior Load Before Treatment (kg/year)]],"")</f>
        <v/>
      </c>
      <c r="BT269" s="19" t="s">
        <v>575</v>
      </c>
    </row>
    <row r="270" spans="1:72">
      <c r="A270" s="43" t="s">
        <v>576</v>
      </c>
      <c r="B270" s="43" t="s">
        <v>572</v>
      </c>
      <c r="C270" s="43" t="s">
        <v>109</v>
      </c>
      <c r="D270" s="43" t="s">
        <v>110</v>
      </c>
      <c r="G270" s="44">
        <v>2.5</v>
      </c>
      <c r="H270" s="44">
        <v>0</v>
      </c>
      <c r="I270" s="44">
        <v>5.01</v>
      </c>
      <c r="J270" s="43" t="s">
        <v>573</v>
      </c>
      <c r="K270" s="43" t="s">
        <v>112</v>
      </c>
      <c r="N270" s="48"/>
      <c r="O270" s="43" t="s">
        <v>113</v>
      </c>
      <c r="Q270" s="43">
        <v>2023</v>
      </c>
      <c r="U270" s="43" t="s">
        <v>134</v>
      </c>
      <c r="V270" s="43" t="s">
        <v>492</v>
      </c>
      <c r="W270" s="43" t="s">
        <v>115</v>
      </c>
      <c r="X270" s="43" t="s">
        <v>574</v>
      </c>
      <c r="Y270" s="43">
        <v>0.37</v>
      </c>
      <c r="Z270" s="43" t="s">
        <v>117</v>
      </c>
      <c r="AA270" s="43" t="s">
        <v>118</v>
      </c>
      <c r="AF270" s="43">
        <v>0.14000000000000001</v>
      </c>
      <c r="AG270" s="43" t="s">
        <v>119</v>
      </c>
      <c r="AN270" s="50">
        <v>1414</v>
      </c>
      <c r="AP270" s="19"/>
      <c r="AQ270" s="19"/>
      <c r="AR27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0.29688944252020238</v>
      </c>
      <c r="AS27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0.95580516760729106</v>
      </c>
      <c r="AT270"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3.999999999999998E-2</v>
      </c>
      <c r="AU27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0.77902583803645531</v>
      </c>
      <c r="AV27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0.47116103352145822</v>
      </c>
      <c r="AW270" s="19">
        <f>IFERROR(Table1[[#This Row],[* Practice Efficiency]]*Table1[[#This Row],[* Load Before Treatment (kg/yr)]],"")</f>
        <v>0.13988273657942812</v>
      </c>
      <c r="AX270" s="100">
        <v>0</v>
      </c>
      <c r="AY270" s="44" t="s">
        <v>121</v>
      </c>
      <c r="BA270" s="101">
        <v>1</v>
      </c>
      <c r="BB27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0.13988273657942812</v>
      </c>
      <c r="BC270" s="44"/>
      <c r="BD270" s="44"/>
      <c r="BJ270" s="43"/>
      <c r="BK270" s="45"/>
      <c r="BL270" s="45"/>
      <c r="BM27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7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7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7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7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70" s="19" t="str">
        <f>IFERROR(Table1[[#This Row],[* Prior Practice Efficiency]]*Table1[[#This Row],[* Prior Load Before Treatment (kg/year)]],"")</f>
        <v/>
      </c>
      <c r="BT270" s="19" t="s">
        <v>575</v>
      </c>
    </row>
    <row r="271" spans="1:72">
      <c r="A271" s="43" t="s">
        <v>577</v>
      </c>
      <c r="B271" s="43" t="s">
        <v>572</v>
      </c>
      <c r="C271" s="43" t="s">
        <v>109</v>
      </c>
      <c r="D271" s="43" t="s">
        <v>110</v>
      </c>
      <c r="G271" s="44">
        <v>2.5</v>
      </c>
      <c r="H271" s="44">
        <v>0</v>
      </c>
      <c r="I271" s="44">
        <v>5.01</v>
      </c>
      <c r="J271" s="43" t="s">
        <v>573</v>
      </c>
      <c r="K271" s="43" t="s">
        <v>112</v>
      </c>
      <c r="N271" s="48"/>
      <c r="O271" s="43" t="s">
        <v>113</v>
      </c>
      <c r="Q271" s="43">
        <v>2023</v>
      </c>
      <c r="U271" s="43" t="s">
        <v>134</v>
      </c>
      <c r="V271" s="43" t="s">
        <v>492</v>
      </c>
      <c r="W271" s="43" t="s">
        <v>115</v>
      </c>
      <c r="X271" s="43" t="s">
        <v>578</v>
      </c>
      <c r="Y271" s="43">
        <v>0.37</v>
      </c>
      <c r="Z271" s="43" t="s">
        <v>117</v>
      </c>
      <c r="AA271" s="43" t="s">
        <v>118</v>
      </c>
      <c r="AF271" s="43">
        <v>0.14000000000000001</v>
      </c>
      <c r="AG271" s="43" t="s">
        <v>119</v>
      </c>
      <c r="AN271" s="50">
        <v>1414</v>
      </c>
      <c r="AO271" s="43" t="s">
        <v>330</v>
      </c>
      <c r="AP271" s="19"/>
      <c r="AQ271" s="19"/>
      <c r="AR27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0.29688944252020238</v>
      </c>
      <c r="AS27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0.95580516760729106</v>
      </c>
      <c r="AT271"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6.0000000000000053E-2</v>
      </c>
      <c r="AU27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0.77902583803645531</v>
      </c>
      <c r="AV27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0.86674155028218736</v>
      </c>
      <c r="AW271" s="19">
        <f>IFERROR(Table1[[#This Row],[* Practice Efficiency]]*Table1[[#This Row],[* Load Before Treatment (kg/yr)]],"")</f>
        <v>0.25732641567237458</v>
      </c>
      <c r="AX271" s="100">
        <v>0</v>
      </c>
      <c r="AY271" s="44" t="s">
        <v>121</v>
      </c>
      <c r="BA271" s="101">
        <v>1</v>
      </c>
      <c r="BB27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0.25732641567237458</v>
      </c>
      <c r="BC271" s="44"/>
      <c r="BD271" s="44"/>
      <c r="BJ271" s="43"/>
      <c r="BK271" s="45"/>
      <c r="BL271" s="45"/>
      <c r="BM27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7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7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7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7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71" s="19" t="str">
        <f>IFERROR(Table1[[#This Row],[* Prior Practice Efficiency]]*Table1[[#This Row],[* Prior Load Before Treatment (kg/year)]],"")</f>
        <v/>
      </c>
      <c r="BT271" s="19" t="s">
        <v>575</v>
      </c>
    </row>
    <row r="272" spans="1:72">
      <c r="A272" s="43" t="s">
        <v>579</v>
      </c>
      <c r="B272" s="43" t="s">
        <v>572</v>
      </c>
      <c r="C272" s="43" t="s">
        <v>109</v>
      </c>
      <c r="D272" s="43" t="s">
        <v>110</v>
      </c>
      <c r="G272" s="44">
        <v>2.5</v>
      </c>
      <c r="H272" s="44">
        <v>0</v>
      </c>
      <c r="I272" s="44">
        <v>5.01</v>
      </c>
      <c r="J272" s="43" t="s">
        <v>573</v>
      </c>
      <c r="K272" s="43" t="s">
        <v>112</v>
      </c>
      <c r="N272" s="48"/>
      <c r="O272" s="43" t="s">
        <v>113</v>
      </c>
      <c r="Q272" s="43">
        <v>2023</v>
      </c>
      <c r="U272" s="43" t="s">
        <v>134</v>
      </c>
      <c r="V272" s="43" t="s">
        <v>492</v>
      </c>
      <c r="W272" s="43" t="s">
        <v>115</v>
      </c>
      <c r="X272" s="43" t="s">
        <v>574</v>
      </c>
      <c r="Y272" s="43">
        <v>0.68</v>
      </c>
      <c r="Z272" s="43" t="s">
        <v>117</v>
      </c>
      <c r="AA272" s="43" t="s">
        <v>118</v>
      </c>
      <c r="AF272" s="43">
        <v>0.18</v>
      </c>
      <c r="AG272" s="43" t="s">
        <v>119</v>
      </c>
      <c r="AN272" s="50">
        <v>1814</v>
      </c>
      <c r="AP272" s="19"/>
      <c r="AQ272" s="19"/>
      <c r="AR27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0.54563465111820986</v>
      </c>
      <c r="AS27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0.69838244380296077</v>
      </c>
      <c r="AT272"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7.0000000000000007E-2</v>
      </c>
      <c r="AU272"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0.49191221901480381</v>
      </c>
      <c r="AV272"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0.40443385533103626</v>
      </c>
      <c r="AW272" s="19">
        <f>IFERROR(Table1[[#This Row],[* Practice Efficiency]]*Table1[[#This Row],[* Load Before Treatment (kg/yr)]],"")</f>
        <v>0.22067312555394253</v>
      </c>
      <c r="AX272" s="100">
        <v>0</v>
      </c>
      <c r="AY272" s="44" t="s">
        <v>121</v>
      </c>
      <c r="BA272" s="101">
        <v>1</v>
      </c>
      <c r="BB272"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0.22067312555394253</v>
      </c>
      <c r="BC272" s="44"/>
      <c r="BD272" s="44"/>
      <c r="BJ272" s="43"/>
      <c r="BK272" s="45"/>
      <c r="BL272" s="45"/>
      <c r="BM27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7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7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7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7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72" s="19" t="str">
        <f>IFERROR(Table1[[#This Row],[* Prior Practice Efficiency]]*Table1[[#This Row],[* Prior Load Before Treatment (kg/year)]],"")</f>
        <v/>
      </c>
      <c r="BT272" s="19" t="s">
        <v>575</v>
      </c>
    </row>
    <row r="273" spans="1:72">
      <c r="A273" s="43" t="s">
        <v>580</v>
      </c>
      <c r="B273" s="43" t="s">
        <v>572</v>
      </c>
      <c r="C273" s="43" t="s">
        <v>109</v>
      </c>
      <c r="D273" s="43" t="s">
        <v>110</v>
      </c>
      <c r="G273" s="44">
        <v>2.5</v>
      </c>
      <c r="H273" s="44">
        <v>0</v>
      </c>
      <c r="I273" s="44">
        <v>5.01</v>
      </c>
      <c r="J273" s="43" t="s">
        <v>573</v>
      </c>
      <c r="K273" s="43" t="s">
        <v>112</v>
      </c>
      <c r="N273" s="48"/>
      <c r="O273" s="43" t="s">
        <v>113</v>
      </c>
      <c r="Q273" s="43">
        <v>2023</v>
      </c>
      <c r="U273" s="43" t="s">
        <v>134</v>
      </c>
      <c r="V273" s="43" t="s">
        <v>492</v>
      </c>
      <c r="W273" s="43" t="s">
        <v>115</v>
      </c>
      <c r="X273" s="43" t="s">
        <v>581</v>
      </c>
      <c r="Y273" s="43">
        <v>2</v>
      </c>
      <c r="Z273" s="43" t="s">
        <v>117</v>
      </c>
      <c r="AA273" s="43" t="s">
        <v>118</v>
      </c>
      <c r="AF273" s="43">
        <v>1.35</v>
      </c>
      <c r="AG273" s="43" t="s">
        <v>119</v>
      </c>
      <c r="AN273" s="50">
        <v>38400</v>
      </c>
      <c r="AP273" s="19"/>
      <c r="AQ273" s="19"/>
      <c r="AR27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1.6048077974064994</v>
      </c>
      <c r="AS273"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2</v>
      </c>
      <c r="AT273"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1.0000000000000009E-2</v>
      </c>
      <c r="AU27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73"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0.13</v>
      </c>
      <c r="AW273" s="19">
        <f>IFERROR(Table1[[#This Row],[* Practice Efficiency]]*Table1[[#This Row],[* Load Before Treatment (kg/yr)]],"")</f>
        <v>0.20862501366284492</v>
      </c>
      <c r="AX273" s="100">
        <v>0</v>
      </c>
      <c r="AY273" s="44" t="s">
        <v>121</v>
      </c>
      <c r="BA273" s="101">
        <v>1</v>
      </c>
      <c r="BB273"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0.20862501366284492</v>
      </c>
      <c r="BC273" s="44"/>
      <c r="BD273" s="44"/>
      <c r="BJ273" s="43"/>
      <c r="BK273" s="45"/>
      <c r="BL273" s="45"/>
      <c r="BM27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73"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7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7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7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73" s="19" t="str">
        <f>IFERROR(Table1[[#This Row],[* Prior Practice Efficiency]]*Table1[[#This Row],[* Prior Load Before Treatment (kg/year)]],"")</f>
        <v/>
      </c>
      <c r="BT273" s="19" t="s">
        <v>575</v>
      </c>
    </row>
    <row r="274" spans="1:72">
      <c r="A274" s="43" t="s">
        <v>613</v>
      </c>
      <c r="B274" s="43" t="s">
        <v>614</v>
      </c>
      <c r="C274" s="43" t="s">
        <v>109</v>
      </c>
      <c r="D274" s="43" t="s">
        <v>433</v>
      </c>
      <c r="J274" s="43" t="s">
        <v>615</v>
      </c>
      <c r="K274" s="43" t="s">
        <v>162</v>
      </c>
      <c r="N274" s="48"/>
      <c r="O274" s="43" t="s">
        <v>611</v>
      </c>
      <c r="P274" s="43">
        <v>2023</v>
      </c>
      <c r="U274" s="43" t="s">
        <v>134</v>
      </c>
      <c r="V274" s="43" t="str">
        <f>IFERROR(VLOOKUP(Table1[[#This Row],[LC TMDL Drainage Area]],Dropdowns!$P$3:$Q$23,2,FALSE),"")</f>
        <v>Main Lake</v>
      </c>
      <c r="W274" s="43" t="s">
        <v>115</v>
      </c>
      <c r="X274" s="43" t="s">
        <v>616</v>
      </c>
      <c r="Z274" s="43" t="s">
        <v>136</v>
      </c>
      <c r="AA274" s="43" t="s">
        <v>118</v>
      </c>
      <c r="AN274" s="50"/>
      <c r="AO274" s="43" t="s">
        <v>172</v>
      </c>
      <c r="AP274" s="19"/>
      <c r="AQ274" s="19"/>
      <c r="AR27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7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7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7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7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74" s="19" t="str">
        <f>IFERROR(Table1[[#This Row],[* Practice Efficiency]]*Table1[[#This Row],[* Load Before Treatment (kg/yr)]],"")</f>
        <v/>
      </c>
      <c r="AX274" s="100">
        <v>0</v>
      </c>
      <c r="AY274" s="44" t="s">
        <v>121</v>
      </c>
      <c r="BA274" s="101">
        <v>1</v>
      </c>
      <c r="BB27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74" s="44"/>
      <c r="BD274" s="44"/>
      <c r="BJ274" s="43"/>
      <c r="BK274" s="45"/>
      <c r="BL274" s="45"/>
      <c r="BM27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7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7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7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7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74" s="19" t="str">
        <f>IFERROR(Table1[[#This Row],[* Prior Practice Efficiency]]*Table1[[#This Row],[* Prior Load Before Treatment (kg/year)]],"")</f>
        <v/>
      </c>
      <c r="BT274" s="19" t="s">
        <v>617</v>
      </c>
    </row>
    <row r="275" spans="1:72">
      <c r="A275" s="43" t="s">
        <v>618</v>
      </c>
      <c r="B275" s="43" t="s">
        <v>614</v>
      </c>
      <c r="C275" s="43" t="s">
        <v>109</v>
      </c>
      <c r="D275" s="43" t="s">
        <v>433</v>
      </c>
      <c r="J275" s="43" t="s">
        <v>615</v>
      </c>
      <c r="K275" s="43" t="s">
        <v>162</v>
      </c>
      <c r="N275" s="48"/>
      <c r="O275" s="43" t="s">
        <v>611</v>
      </c>
      <c r="P275" s="43">
        <v>2023</v>
      </c>
      <c r="U275" s="43" t="s">
        <v>134</v>
      </c>
      <c r="V275" s="43" t="str">
        <f>IFERROR(VLOOKUP(Table1[[#This Row],[LC TMDL Drainage Area]],Dropdowns!$P$3:$Q$23,2,FALSE),"")</f>
        <v>Main Lake</v>
      </c>
      <c r="W275" s="43" t="s">
        <v>115</v>
      </c>
      <c r="X275" s="43" t="s">
        <v>329</v>
      </c>
      <c r="Z275" s="43" t="s">
        <v>136</v>
      </c>
      <c r="AA275" s="43" t="s">
        <v>118</v>
      </c>
      <c r="AN275" s="50"/>
      <c r="AO275" s="43" t="s">
        <v>172</v>
      </c>
      <c r="AP275" s="19"/>
      <c r="AQ275" s="19"/>
      <c r="AR27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7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7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7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7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75" s="19" t="str">
        <f>IFERROR(Table1[[#This Row],[* Practice Efficiency]]*Table1[[#This Row],[* Load Before Treatment (kg/yr)]],"")</f>
        <v/>
      </c>
      <c r="AX275" s="100">
        <v>0</v>
      </c>
      <c r="AY275" s="44" t="s">
        <v>121</v>
      </c>
      <c r="BA275" s="101">
        <v>1</v>
      </c>
      <c r="BB27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75" s="44"/>
      <c r="BD275" s="44"/>
      <c r="BJ275" s="43"/>
      <c r="BK275" s="45"/>
      <c r="BL275" s="45"/>
      <c r="BM27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7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7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7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7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75" s="19" t="str">
        <f>IFERROR(Table1[[#This Row],[* Prior Practice Efficiency]]*Table1[[#This Row],[* Prior Load Before Treatment (kg/year)]],"")</f>
        <v/>
      </c>
      <c r="BT275" s="19" t="s">
        <v>617</v>
      </c>
    </row>
    <row r="276" spans="1:72">
      <c r="B276" s="43" t="s">
        <v>628</v>
      </c>
      <c r="C276" s="43" t="s">
        <v>109</v>
      </c>
      <c r="D276" s="43" t="s">
        <v>110</v>
      </c>
      <c r="G276" s="44">
        <v>0.8</v>
      </c>
      <c r="H276" s="44">
        <v>0.83</v>
      </c>
      <c r="I276" s="44">
        <v>3.1</v>
      </c>
      <c r="J276" s="43" t="s">
        <v>629</v>
      </c>
      <c r="K276" s="43" t="s">
        <v>630</v>
      </c>
      <c r="N276" s="48"/>
      <c r="O276" s="43" t="s">
        <v>598</v>
      </c>
      <c r="P276" s="43">
        <v>2026</v>
      </c>
      <c r="U276" s="43" t="s">
        <v>134</v>
      </c>
      <c r="V276" s="43" t="s">
        <v>492</v>
      </c>
      <c r="W276" s="43" t="s">
        <v>115</v>
      </c>
      <c r="X276" s="43" t="s">
        <v>578</v>
      </c>
      <c r="Y276" s="43">
        <v>1.63</v>
      </c>
      <c r="Z276" s="43" t="s">
        <v>136</v>
      </c>
      <c r="AA276" s="43" t="s">
        <v>118</v>
      </c>
      <c r="AF276" s="43">
        <v>1.47</v>
      </c>
      <c r="AG276" s="43" t="s">
        <v>119</v>
      </c>
      <c r="AM276"/>
      <c r="AN276" s="50">
        <v>27138.92</v>
      </c>
      <c r="AO276" s="43" t="s">
        <v>209</v>
      </c>
      <c r="AP276" s="19"/>
      <c r="AQ276" s="19"/>
      <c r="AR27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1.070552143189188</v>
      </c>
      <c r="AS276"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2</v>
      </c>
      <c r="AT276"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27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76"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v>
      </c>
      <c r="AW276" s="19">
        <f>IFERROR(Table1[[#This Row],[* Practice Efficiency]]*Table1[[#This Row],[* Load Before Treatment (kg/yr)]],"")</f>
        <v>1.070552143189188</v>
      </c>
      <c r="AX276" s="100">
        <v>0</v>
      </c>
      <c r="AY276" s="44" t="s">
        <v>121</v>
      </c>
      <c r="BA276" s="101">
        <v>1</v>
      </c>
      <c r="BB276"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1.070552143189188</v>
      </c>
      <c r="BC276" s="44"/>
      <c r="BD276" s="44"/>
      <c r="BJ276" s="43"/>
      <c r="BK276" s="45"/>
      <c r="BL276" s="45"/>
      <c r="BM27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76"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7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7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7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76" s="19" t="str">
        <f>IFERROR(Table1[[#This Row],[* Prior Practice Efficiency]]*Table1[[#This Row],[* Prior Load Before Treatment (kg/year)]],"")</f>
        <v/>
      </c>
      <c r="BT276" s="19"/>
    </row>
    <row r="277" spans="1:72">
      <c r="B277" s="43" t="s">
        <v>628</v>
      </c>
      <c r="C277" s="43" t="s">
        <v>109</v>
      </c>
      <c r="D277" s="43" t="s">
        <v>110</v>
      </c>
      <c r="G277" s="44">
        <v>0.39</v>
      </c>
      <c r="H277" s="44">
        <v>0</v>
      </c>
      <c r="I277" s="44">
        <v>0.39</v>
      </c>
      <c r="J277" s="43" t="s">
        <v>629</v>
      </c>
      <c r="K277" s="43" t="s">
        <v>631</v>
      </c>
      <c r="N277" s="48"/>
      <c r="O277" s="43" t="s">
        <v>598</v>
      </c>
      <c r="P277" s="43">
        <v>2026</v>
      </c>
      <c r="U277" s="43" t="s">
        <v>134</v>
      </c>
      <c r="V277" s="43" t="s">
        <v>492</v>
      </c>
      <c r="W277" s="43" t="s">
        <v>115</v>
      </c>
      <c r="X277" s="43" t="s">
        <v>578</v>
      </c>
      <c r="Y277" s="43">
        <v>0.39</v>
      </c>
      <c r="Z277" s="43" t="s">
        <v>136</v>
      </c>
      <c r="AA277" s="43" t="s">
        <v>118</v>
      </c>
      <c r="AF277" s="43">
        <v>1.0000000000000001E-5</v>
      </c>
      <c r="AG277" s="43" t="s">
        <v>119</v>
      </c>
      <c r="AM277"/>
      <c r="AN277" s="50">
        <v>5090.8999999999996</v>
      </c>
      <c r="AO277" s="43" t="s">
        <v>209</v>
      </c>
      <c r="AP277" s="19"/>
      <c r="AQ277" s="19"/>
      <c r="AR27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0.25614437781827198</v>
      </c>
      <c r="AS277"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2</v>
      </c>
      <c r="AT277" s="19" t="str">
        <f>IFERROR((VLOOKUP(CONCATENATE(Table1[[#This Row],[BMP Type ]]," ",Table1[[#This Row],[Infiltration rate (in/hr)]]),'Performance Curves'!$C$1:$L$45,_xlfn.SINGLE(MATCH(Table1[[#This Row],[* Storage Depth (inches)]],'Performance Curves'!$D$1:$L$1,1))+2,FALSE)-VLOOKUP(CONCATENATE(Table1[[#This Row],[BMP Type ]]," ",Table1[[#This Row],[Infiltration rate (in/hr)]]),'Performance Curves'!$C$1:$L$45,_xlfn.SINGLE(MATCH(Table1[[#This Row],[* Storage Depth (inches)]],'Performance Curves'!$D$1:$L$1,1))+1,FALSE)),"")</f>
        <v/>
      </c>
      <c r="AU27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77"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1</v>
      </c>
      <c r="AW277" s="19">
        <f>IFERROR(Table1[[#This Row],[* Practice Efficiency]]*Table1[[#This Row],[* Load Before Treatment (kg/yr)]],"")</f>
        <v>0.25614437781827198</v>
      </c>
      <c r="AX277" s="100">
        <v>0</v>
      </c>
      <c r="AY277" s="44" t="s">
        <v>121</v>
      </c>
      <c r="BA277" s="101">
        <v>1</v>
      </c>
      <c r="BB277"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0.25614437781827198</v>
      </c>
      <c r="BC277" s="44"/>
      <c r="BD277" s="44"/>
      <c r="BJ277" s="43"/>
      <c r="BK277" s="45"/>
      <c r="BL277" s="45"/>
      <c r="BM27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77"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7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7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7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77" s="19" t="str">
        <f>IFERROR(Table1[[#This Row],[* Prior Practice Efficiency]]*Table1[[#This Row],[* Prior Load Before Treatment (kg/year)]],"")</f>
        <v/>
      </c>
      <c r="BT277" s="19"/>
    </row>
    <row r="278" spans="1:72">
      <c r="A278" s="43" t="s">
        <v>582</v>
      </c>
      <c r="B278" s="43" t="s">
        <v>583</v>
      </c>
      <c r="C278" s="43" t="s">
        <v>109</v>
      </c>
      <c r="D278" s="43" t="s">
        <v>110</v>
      </c>
      <c r="G278" s="44">
        <v>1.31</v>
      </c>
      <c r="H278" s="44">
        <v>0</v>
      </c>
      <c r="I278" s="44">
        <v>4.51</v>
      </c>
      <c r="J278" s="43" t="s">
        <v>584</v>
      </c>
      <c r="K278" s="43" t="s">
        <v>112</v>
      </c>
      <c r="N278" s="48"/>
      <c r="O278" s="43" t="s">
        <v>113</v>
      </c>
      <c r="Q278" s="43">
        <v>2023</v>
      </c>
      <c r="U278" s="43" t="s">
        <v>134</v>
      </c>
      <c r="V278" s="43" t="s">
        <v>492</v>
      </c>
      <c r="W278" s="43" t="s">
        <v>115</v>
      </c>
      <c r="X278" s="43" t="s">
        <v>483</v>
      </c>
      <c r="Y278" s="43">
        <v>1.76</v>
      </c>
      <c r="Z278" s="43" t="s">
        <v>146</v>
      </c>
      <c r="AA278" s="43" t="s">
        <v>118</v>
      </c>
      <c r="AF278" s="43">
        <v>2.77</v>
      </c>
      <c r="AG278" s="43" t="s">
        <v>119</v>
      </c>
      <c r="AN278" s="50">
        <v>7420</v>
      </c>
      <c r="AP278" s="19"/>
      <c r="AQ278" s="19"/>
      <c r="AR27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1.7916942222624224</v>
      </c>
      <c r="AS278"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0.84513654829866702</v>
      </c>
      <c r="AT278"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3.999999999999998E-2</v>
      </c>
      <c r="AU278"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0.22568274149333495</v>
      </c>
      <c r="AV278" s="37">
        <v>0.78</v>
      </c>
      <c r="AW278" s="19">
        <f>IFERROR(Table1[[#This Row],[* Practice Efficiency]]*Table1[[#This Row],[* Load Before Treatment (kg/yr)]],"")</f>
        <v>1.3975214933646896</v>
      </c>
      <c r="AX278" s="100">
        <v>0</v>
      </c>
      <c r="AY278" s="44" t="s">
        <v>121</v>
      </c>
      <c r="BA278" s="101">
        <v>1</v>
      </c>
      <c r="BB278"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1.3975214933646896</v>
      </c>
      <c r="BC278" s="44"/>
      <c r="BD278" s="44"/>
      <c r="BJ278" s="43"/>
      <c r="BK278" s="45"/>
      <c r="BL278" s="45"/>
      <c r="BM27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78"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7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7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7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78" s="19" t="str">
        <f>IFERROR(Table1[[#This Row],[* Prior Practice Efficiency]]*Table1[[#This Row],[* Prior Load Before Treatment (kg/year)]],"")</f>
        <v/>
      </c>
      <c r="BT278" s="19" t="s">
        <v>585</v>
      </c>
    </row>
    <row r="279" spans="1:72">
      <c r="A279" s="43" t="s">
        <v>586</v>
      </c>
      <c r="B279" s="43" t="s">
        <v>583</v>
      </c>
      <c r="C279" s="43" t="s">
        <v>109</v>
      </c>
      <c r="D279" s="43" t="s">
        <v>110</v>
      </c>
      <c r="G279" s="44">
        <v>1.31</v>
      </c>
      <c r="H279" s="44">
        <v>0</v>
      </c>
      <c r="I279" s="44">
        <v>4.51</v>
      </c>
      <c r="J279" s="43" t="s">
        <v>584</v>
      </c>
      <c r="K279" s="43" t="s">
        <v>112</v>
      </c>
      <c r="N279" s="48"/>
      <c r="O279" s="43" t="s">
        <v>113</v>
      </c>
      <c r="Q279" s="43">
        <v>2023</v>
      </c>
      <c r="U279" s="43" t="s">
        <v>134</v>
      </c>
      <c r="V279" s="43" t="s">
        <v>492</v>
      </c>
      <c r="W279" s="43" t="s">
        <v>115</v>
      </c>
      <c r="X279" s="43" t="s">
        <v>124</v>
      </c>
      <c r="Y279" s="43">
        <v>1.31</v>
      </c>
      <c r="Z279" s="43" t="s">
        <v>136</v>
      </c>
      <c r="AA279" s="43" t="s">
        <v>118</v>
      </c>
      <c r="AF279" s="43">
        <v>9.9999999999999995E-7</v>
      </c>
      <c r="AG279" s="43" t="s">
        <v>119</v>
      </c>
      <c r="AK279" s="43">
        <v>176</v>
      </c>
      <c r="AN279" s="50">
        <v>613</v>
      </c>
      <c r="AP279" s="19"/>
      <c r="AQ279" s="19"/>
      <c r="AR27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0.86038239728701615</v>
      </c>
      <c r="AS279"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0.12890879267263203</v>
      </c>
      <c r="AT279"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0.02</v>
      </c>
      <c r="AU279"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0.28908792672632022</v>
      </c>
      <c r="AV279"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5.7817585345264046E-3</v>
      </c>
      <c r="AW279" s="19">
        <f>IFERROR(Table1[[#This Row],[* Practice Efficiency]]*Table1[[#This Row],[* Load Before Treatment (kg/yr)]],"")</f>
        <v>4.974523268470493E-3</v>
      </c>
      <c r="AX279" s="100">
        <v>0</v>
      </c>
      <c r="AY279" s="44" t="s">
        <v>121</v>
      </c>
      <c r="BA279" s="101">
        <v>1</v>
      </c>
      <c r="BB279"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4.974523268470493E-3</v>
      </c>
      <c r="BC279" s="44"/>
      <c r="BD279" s="44"/>
      <c r="BJ279" s="43"/>
      <c r="BK279" s="45"/>
      <c r="BL279" s="45"/>
      <c r="BM27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79"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7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7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7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79" s="19" t="str">
        <f>IFERROR(Table1[[#This Row],[* Prior Practice Efficiency]]*Table1[[#This Row],[* Prior Load Before Treatment (kg/year)]],"")</f>
        <v/>
      </c>
      <c r="BT279" s="19" t="s">
        <v>587</v>
      </c>
    </row>
    <row r="280" spans="1:72">
      <c r="A280" s="43" t="s">
        <v>489</v>
      </c>
      <c r="B280" s="43" t="s">
        <v>490</v>
      </c>
      <c r="C280" s="43" t="s">
        <v>109</v>
      </c>
      <c r="D280" s="43" t="s">
        <v>110</v>
      </c>
      <c r="G280" s="44">
        <v>0.77</v>
      </c>
      <c r="H280" s="44">
        <v>0</v>
      </c>
      <c r="I280" s="44">
        <v>2.25</v>
      </c>
      <c r="J280" s="43" t="s">
        <v>491</v>
      </c>
      <c r="K280" s="43" t="s">
        <v>112</v>
      </c>
      <c r="N280" s="48"/>
      <c r="O280" s="43" t="s">
        <v>113</v>
      </c>
      <c r="Q280" s="43">
        <v>2020</v>
      </c>
      <c r="U280" s="43" t="s">
        <v>134</v>
      </c>
      <c r="V280" s="43" t="s">
        <v>492</v>
      </c>
      <c r="W280" s="43" t="s">
        <v>115</v>
      </c>
      <c r="X280" s="43" t="s">
        <v>124</v>
      </c>
      <c r="Y280" s="43">
        <v>1.84</v>
      </c>
      <c r="Z280" s="43" t="s">
        <v>136</v>
      </c>
      <c r="AA280" s="43" t="s">
        <v>118</v>
      </c>
      <c r="AF280" s="43">
        <v>9.9999999999999995E-8</v>
      </c>
      <c r="AG280" s="43" t="s">
        <v>119</v>
      </c>
      <c r="AN280" s="50">
        <v>2865.3900000000003</v>
      </c>
      <c r="AP280" s="19"/>
      <c r="AQ280" s="19"/>
      <c r="AR28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1.2084760389374885</v>
      </c>
      <c r="AS280"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0.42900197047941108</v>
      </c>
      <c r="AT280"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3.9999999999999994E-2</v>
      </c>
      <c r="AU280"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0.1450098523970553</v>
      </c>
      <c r="AV280"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5.5800394095882215E-2</v>
      </c>
      <c r="AW280" s="19">
        <f>IFERROR(Table1[[#This Row],[* Practice Efficiency]]*Table1[[#This Row],[* Load Before Treatment (kg/yr)]],"")</f>
        <v>6.7433439228142558E-2</v>
      </c>
      <c r="AX280" s="100">
        <v>0</v>
      </c>
      <c r="AY280" s="44" t="s">
        <v>121</v>
      </c>
      <c r="BA280" s="101">
        <v>1</v>
      </c>
      <c r="BB280"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6.7433439228142558E-2</v>
      </c>
      <c r="BC280" s="44"/>
      <c r="BD280" s="44"/>
      <c r="BJ280" s="43"/>
      <c r="BK280" s="45"/>
      <c r="BL280" s="45"/>
      <c r="BM28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80"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8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8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8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80" s="19" t="str">
        <f>IFERROR(Table1[[#This Row],[* Prior Practice Efficiency]]*Table1[[#This Row],[* Prior Load Before Treatment (kg/year)]],"")</f>
        <v/>
      </c>
      <c r="BT280" s="19"/>
    </row>
    <row r="281" spans="1:72">
      <c r="A281" s="43" t="s">
        <v>493</v>
      </c>
      <c r="B281" s="43" t="s">
        <v>494</v>
      </c>
      <c r="C281" s="43" t="s">
        <v>109</v>
      </c>
      <c r="D281" s="43" t="s">
        <v>110</v>
      </c>
      <c r="G281" s="44">
        <v>0.77</v>
      </c>
      <c r="H281" s="44">
        <v>0.46</v>
      </c>
      <c r="I281" s="44">
        <v>2.25</v>
      </c>
      <c r="J281" s="43" t="s">
        <v>495</v>
      </c>
      <c r="K281" s="43" t="s">
        <v>112</v>
      </c>
      <c r="N281" s="48"/>
      <c r="O281" s="43" t="s">
        <v>113</v>
      </c>
      <c r="Q281" s="43">
        <v>2020</v>
      </c>
      <c r="U281" s="43" t="s">
        <v>134</v>
      </c>
      <c r="V281" s="43" t="s">
        <v>492</v>
      </c>
      <c r="W281" s="43" t="s">
        <v>115</v>
      </c>
      <c r="X281" s="43" t="s">
        <v>124</v>
      </c>
      <c r="Y281" s="43">
        <v>1.84</v>
      </c>
      <c r="Z281" s="43" t="s">
        <v>136</v>
      </c>
      <c r="AA281" s="43" t="s">
        <v>118</v>
      </c>
      <c r="AF281" s="43">
        <v>14.43</v>
      </c>
      <c r="AG281" s="43" t="s">
        <v>119</v>
      </c>
      <c r="AN281" s="50">
        <v>2746.2599999999998</v>
      </c>
      <c r="AP281" s="19"/>
      <c r="AQ281" s="19"/>
      <c r="AR28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1.2084760389374885</v>
      </c>
      <c r="AS281"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0.25720436469980928</v>
      </c>
      <c r="AT281" s="19">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3.0000000000000002E-2</v>
      </c>
      <c r="AU281" s="19">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0.28602182349904637</v>
      </c>
      <c r="AV281" s="37">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2.8580654704971391E-2</v>
      </c>
      <c r="AW281" s="19">
        <f>IFERROR(Table1[[#This Row],[* Practice Efficiency]]*Table1[[#This Row],[* Load Before Treatment (kg/yr)]],"")</f>
        <v>3.4539036388103919E-2</v>
      </c>
      <c r="AX281" s="100">
        <v>0</v>
      </c>
      <c r="AY281" s="44" t="s">
        <v>121</v>
      </c>
      <c r="BA281" s="101">
        <v>1</v>
      </c>
      <c r="BB281" s="72">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3.4539036388103919E-2</v>
      </c>
      <c r="BC281" s="44"/>
      <c r="BD281" s="44"/>
      <c r="BJ281" s="43"/>
      <c r="BK281" s="45"/>
      <c r="BL281" s="45"/>
      <c r="BM28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81"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8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8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8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81" s="19" t="str">
        <f>IFERROR(Table1[[#This Row],[* Prior Practice Efficiency]]*Table1[[#This Row],[* Prior Load Before Treatment (kg/year)]],"")</f>
        <v/>
      </c>
      <c r="BT281" s="19"/>
    </row>
    <row r="282" spans="1:72">
      <c r="B282" s="43" t="s">
        <v>886</v>
      </c>
      <c r="C282" s="43" t="s">
        <v>109</v>
      </c>
      <c r="D282" s="43" t="s">
        <v>110</v>
      </c>
      <c r="E282" s="47">
        <v>44.400894999999998</v>
      </c>
      <c r="F282" s="47">
        <v>-72.984599000000003</v>
      </c>
      <c r="G282" s="44">
        <v>0.83</v>
      </c>
      <c r="H282" s="44">
        <v>0.25</v>
      </c>
      <c r="I282" s="44">
        <v>3.85</v>
      </c>
      <c r="J282" s="43" t="s">
        <v>887</v>
      </c>
      <c r="K282" s="43" t="s">
        <v>112</v>
      </c>
      <c r="N282" s="48"/>
      <c r="O282" s="43" t="s">
        <v>605</v>
      </c>
      <c r="P282" s="43">
        <v>2025</v>
      </c>
      <c r="Q282" s="43">
        <v>2025</v>
      </c>
      <c r="U282" s="43" t="s">
        <v>134</v>
      </c>
      <c r="V282" s="43" t="str">
        <f>IFERROR(VLOOKUP(Table1[[#This Row],[LC TMDL Drainage Area]],Dropdowns!$P$3:$Q$23,2,FALSE),"")</f>
        <v>Main Lake</v>
      </c>
      <c r="W282" s="43" t="s">
        <v>115</v>
      </c>
      <c r="X282" s="43" t="s">
        <v>141</v>
      </c>
      <c r="Y282" s="43">
        <v>0.17</v>
      </c>
      <c r="Z282" s="43" t="s">
        <v>117</v>
      </c>
      <c r="AA282" s="43" t="s">
        <v>782</v>
      </c>
      <c r="AB282" s="43">
        <v>0.3</v>
      </c>
      <c r="AF282" s="43">
        <v>0.3</v>
      </c>
      <c r="AG282" s="43" t="s">
        <v>119</v>
      </c>
      <c r="AM282" s="214"/>
      <c r="AN282" s="50"/>
      <c r="AP282" s="19"/>
      <c r="AQ282" s="19"/>
      <c r="AR28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0.13640866277955246</v>
      </c>
      <c r="AS282" s="19">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0</v>
      </c>
      <c r="AT28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8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8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82" s="19" t="str">
        <f>IFERROR(Table1[[#This Row],[* Practice Efficiency]]*Table1[[#This Row],[* Load Before Treatment (kg/yr)]],"")</f>
        <v/>
      </c>
      <c r="AX282" s="100">
        <v>0</v>
      </c>
      <c r="AY282" s="44" t="s">
        <v>121</v>
      </c>
      <c r="BA282" s="101">
        <v>1</v>
      </c>
      <c r="BB28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82" s="44"/>
      <c r="BD282" s="44"/>
      <c r="BJ282" s="43"/>
      <c r="BK282" s="45"/>
      <c r="BL282" s="45"/>
      <c r="BM28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82" s="19">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0</v>
      </c>
      <c r="BO28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8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8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82" s="19" t="str">
        <f>IFERROR(Table1[[#This Row],[* Prior Practice Efficiency]]*Table1[[#This Row],[* Prior Load Before Treatment (kg/year)]],"")</f>
        <v/>
      </c>
      <c r="BT282" s="19"/>
    </row>
    <row r="283" spans="1:72">
      <c r="B283" s="66" t="s">
        <v>888</v>
      </c>
      <c r="C283" s="43" t="s">
        <v>109</v>
      </c>
      <c r="D283" s="43" t="s">
        <v>433</v>
      </c>
      <c r="E283" s="47">
        <v>44.395085999999999</v>
      </c>
      <c r="F283" s="47">
        <v>-72.240250000000003</v>
      </c>
      <c r="G283" s="44">
        <v>0.1</v>
      </c>
      <c r="H283" s="44">
        <v>0.52</v>
      </c>
      <c r="I283" s="44">
        <v>2.13</v>
      </c>
      <c r="J283" s="43" t="s">
        <v>889</v>
      </c>
      <c r="K283" s="43" t="s">
        <v>112</v>
      </c>
      <c r="N283" s="48"/>
      <c r="O283" s="43" t="s">
        <v>611</v>
      </c>
      <c r="P283" s="43">
        <v>2031</v>
      </c>
      <c r="U283" s="43" t="s">
        <v>134</v>
      </c>
      <c r="V283" s="43" t="str">
        <f>IFERROR(VLOOKUP(Table1[[#This Row],[LC TMDL Drainage Area]],Dropdowns!$P$3:$Q$23,2,FALSE),"")</f>
        <v>Main Lake</v>
      </c>
      <c r="W283" s="43" t="s">
        <v>115</v>
      </c>
      <c r="AN283" s="50"/>
      <c r="AP283" s="19"/>
      <c r="AQ283" s="19"/>
      <c r="AR28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8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8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8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8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83" s="19" t="str">
        <f>IFERROR(Table1[[#This Row],[* Practice Efficiency]]*Table1[[#This Row],[* Load Before Treatment (kg/yr)]],"")</f>
        <v/>
      </c>
      <c r="AX283" s="100">
        <v>0</v>
      </c>
      <c r="AY283" s="44" t="s">
        <v>121</v>
      </c>
      <c r="BA283" s="101">
        <v>1</v>
      </c>
      <c r="BB28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83" s="44"/>
      <c r="BD283" s="44"/>
      <c r="BJ283" s="43"/>
      <c r="BK283" s="45"/>
      <c r="BL283" s="45"/>
      <c r="BM28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8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8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8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8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83" s="19" t="str">
        <f>IFERROR(Table1[[#This Row],[* Prior Practice Efficiency]]*Table1[[#This Row],[* Prior Load Before Treatment (kg/year)]],"")</f>
        <v/>
      </c>
      <c r="BT283" s="19"/>
    </row>
    <row r="284" spans="1:72">
      <c r="N284" s="48"/>
      <c r="U284" s="43" t="str">
        <f>IFERROR(VLOOKUP(Table1[[#This Row],[Applicable FRP]],Dropdowns!$C$2:$E$15,3,FALSE),"")</f>
        <v/>
      </c>
      <c r="V284" s="43" t="str">
        <f>IFERROR(VLOOKUP(Table1[[#This Row],[LC TMDL Drainage Area]],Dropdowns!$P$3:$Q$23,2,FALSE),"")</f>
        <v/>
      </c>
      <c r="AN284" s="50"/>
      <c r="AP284" s="19"/>
      <c r="AQ284" s="19"/>
      <c r="AR28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8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8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8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8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84" s="19" t="str">
        <f>IFERROR(Table1[[#This Row],[* Practice Efficiency]]*Table1[[#This Row],[* Load Before Treatment (kg/yr)]],"")</f>
        <v/>
      </c>
      <c r="AX284" s="100">
        <v>0</v>
      </c>
      <c r="AY284" s="44" t="s">
        <v>121</v>
      </c>
      <c r="BA284" s="101">
        <v>1</v>
      </c>
      <c r="BB28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84" s="44"/>
      <c r="BD284" s="44"/>
      <c r="BJ284" s="43"/>
      <c r="BK284" s="45"/>
      <c r="BL284" s="45"/>
      <c r="BM28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8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8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8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8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84" s="19" t="str">
        <f>IFERROR(Table1[[#This Row],[* Prior Practice Efficiency]]*Table1[[#This Row],[* Prior Load Before Treatment (kg/year)]],"")</f>
        <v/>
      </c>
      <c r="BT284" s="19"/>
    </row>
    <row r="285" spans="1:72">
      <c r="N285" s="48"/>
      <c r="U285" s="43" t="str">
        <f>IFERROR(VLOOKUP(Table1[[#This Row],[Applicable FRP]],Dropdowns!$C$2:$E$15,3,FALSE),"")</f>
        <v/>
      </c>
      <c r="V285" s="43" t="str">
        <f>IFERROR(VLOOKUP(Table1[[#This Row],[LC TMDL Drainage Area]],Dropdowns!$P$3:$Q$23,2,FALSE),"")</f>
        <v/>
      </c>
      <c r="AN285" s="50"/>
      <c r="AP285" s="19"/>
      <c r="AQ285" s="19"/>
      <c r="AR28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8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8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8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8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85" s="19" t="str">
        <f>IFERROR(Table1[[#This Row],[* Practice Efficiency]]*Table1[[#This Row],[* Load Before Treatment (kg/yr)]],"")</f>
        <v/>
      </c>
      <c r="AX285" s="100">
        <v>0</v>
      </c>
      <c r="AY285" s="44" t="s">
        <v>121</v>
      </c>
      <c r="BA285" s="101">
        <v>1</v>
      </c>
      <c r="BB28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85" s="44"/>
      <c r="BD285" s="44"/>
      <c r="BJ285" s="43"/>
      <c r="BK285" s="45"/>
      <c r="BL285" s="45"/>
      <c r="BM28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8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8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8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8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85" s="19" t="str">
        <f>IFERROR(Table1[[#This Row],[* Prior Practice Efficiency]]*Table1[[#This Row],[* Prior Load Before Treatment (kg/year)]],"")</f>
        <v/>
      </c>
      <c r="BT285" s="19"/>
    </row>
    <row r="286" spans="1:72">
      <c r="N286" s="48"/>
      <c r="U286" s="43" t="str">
        <f>IFERROR(VLOOKUP(Table1[[#This Row],[Applicable FRP]],Dropdowns!$C$2:$E$15,3,FALSE),"")</f>
        <v/>
      </c>
      <c r="V286" s="43" t="str">
        <f>IFERROR(VLOOKUP(Table1[[#This Row],[LC TMDL Drainage Area]],Dropdowns!$P$3:$Q$23,2,FALSE),"")</f>
        <v/>
      </c>
      <c r="AN286" s="50"/>
      <c r="AP286" s="19"/>
      <c r="AQ286" s="19"/>
      <c r="AR28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8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8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8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8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86" s="19" t="str">
        <f>IFERROR(Table1[[#This Row],[* Practice Efficiency]]*Table1[[#This Row],[* Load Before Treatment (kg/yr)]],"")</f>
        <v/>
      </c>
      <c r="AX286" s="100">
        <v>0</v>
      </c>
      <c r="AY286" s="44" t="s">
        <v>121</v>
      </c>
      <c r="BA286" s="101">
        <v>1</v>
      </c>
      <c r="BB28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86" s="44"/>
      <c r="BD286" s="44"/>
      <c r="BJ286" s="43"/>
      <c r="BK286" s="45"/>
      <c r="BL286" s="45"/>
      <c r="BM28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8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8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8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8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86" s="19" t="str">
        <f>IFERROR(Table1[[#This Row],[* Prior Practice Efficiency]]*Table1[[#This Row],[* Prior Load Before Treatment (kg/year)]],"")</f>
        <v/>
      </c>
      <c r="BT286" s="19"/>
    </row>
    <row r="287" spans="1:72">
      <c r="N287" s="48"/>
      <c r="U287" s="43" t="str">
        <f>IFERROR(VLOOKUP(Table1[[#This Row],[Applicable FRP]],Dropdowns!$C$2:$E$15,3,FALSE),"")</f>
        <v/>
      </c>
      <c r="V287" s="43" t="str">
        <f>IFERROR(VLOOKUP(Table1[[#This Row],[LC TMDL Drainage Area]],Dropdowns!$P$3:$Q$23,2,FALSE),"")</f>
        <v/>
      </c>
      <c r="AN287" s="50"/>
      <c r="AP287" s="19"/>
      <c r="AQ287" s="19"/>
      <c r="AR28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8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8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8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8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87" s="19" t="str">
        <f>IFERROR(Table1[[#This Row],[* Practice Efficiency]]*Table1[[#This Row],[* Load Before Treatment (kg/yr)]],"")</f>
        <v/>
      </c>
      <c r="AX287" s="100">
        <v>0</v>
      </c>
      <c r="AY287" s="44" t="s">
        <v>121</v>
      </c>
      <c r="BA287" s="101">
        <v>1</v>
      </c>
      <c r="BB28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87" s="44"/>
      <c r="BD287" s="44"/>
      <c r="BJ287" s="43"/>
      <c r="BK287" s="45"/>
      <c r="BL287" s="45"/>
      <c r="BM28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8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8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8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8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87" s="19" t="str">
        <f>IFERROR(Table1[[#This Row],[* Prior Practice Efficiency]]*Table1[[#This Row],[* Prior Load Before Treatment (kg/year)]],"")</f>
        <v/>
      </c>
      <c r="BT287" s="19"/>
    </row>
    <row r="288" spans="1:72">
      <c r="N288" s="48"/>
      <c r="U288" s="43" t="str">
        <f>IFERROR(VLOOKUP(Table1[[#This Row],[Applicable FRP]],Dropdowns!$C$2:$E$15,3,FALSE),"")</f>
        <v/>
      </c>
      <c r="V288" s="43" t="str">
        <f>IFERROR(VLOOKUP(Table1[[#This Row],[LC TMDL Drainage Area]],Dropdowns!$P$3:$Q$23,2,FALSE),"")</f>
        <v/>
      </c>
      <c r="AN288" s="50"/>
      <c r="AP288" s="19"/>
      <c r="AQ288" s="19"/>
      <c r="AR28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8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8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8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8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88" s="19" t="str">
        <f>IFERROR(Table1[[#This Row],[* Practice Efficiency]]*Table1[[#This Row],[* Load Before Treatment (kg/yr)]],"")</f>
        <v/>
      </c>
      <c r="AX288" s="100">
        <v>0</v>
      </c>
      <c r="AY288" s="44" t="s">
        <v>121</v>
      </c>
      <c r="BA288" s="101">
        <v>1</v>
      </c>
      <c r="BB28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88" s="44"/>
      <c r="BD288" s="44"/>
      <c r="BJ288" s="43"/>
      <c r="BK288" s="45"/>
      <c r="BL288" s="45"/>
      <c r="BM28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8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8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8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8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88" s="19" t="str">
        <f>IFERROR(Table1[[#This Row],[* Prior Practice Efficiency]]*Table1[[#This Row],[* Prior Load Before Treatment (kg/year)]],"")</f>
        <v/>
      </c>
      <c r="BT288" s="19"/>
    </row>
    <row r="289" spans="14:72">
      <c r="N289" s="48"/>
      <c r="U289" s="43" t="str">
        <f>IFERROR(VLOOKUP(Table1[[#This Row],[Applicable FRP]],Dropdowns!$C$2:$E$15,3,FALSE),"")</f>
        <v/>
      </c>
      <c r="V289" s="43" t="str">
        <f>IFERROR(VLOOKUP(Table1[[#This Row],[LC TMDL Drainage Area]],Dropdowns!$P$3:$Q$23,2,FALSE),"")</f>
        <v/>
      </c>
      <c r="AN289" s="50"/>
      <c r="AP289" s="19"/>
      <c r="AQ289" s="19"/>
      <c r="AR28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8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8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8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8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89" s="19" t="str">
        <f>IFERROR(Table1[[#This Row],[* Practice Efficiency]]*Table1[[#This Row],[* Load Before Treatment (kg/yr)]],"")</f>
        <v/>
      </c>
      <c r="AX289" s="100">
        <v>0</v>
      </c>
      <c r="AY289" s="44" t="s">
        <v>121</v>
      </c>
      <c r="BA289" s="101">
        <v>1</v>
      </c>
      <c r="BB28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89" s="44"/>
      <c r="BD289" s="44"/>
      <c r="BJ289" s="43"/>
      <c r="BK289" s="45"/>
      <c r="BL289" s="45"/>
      <c r="BM28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8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8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8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8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89" s="19" t="str">
        <f>IFERROR(Table1[[#This Row],[* Prior Practice Efficiency]]*Table1[[#This Row],[* Prior Load Before Treatment (kg/year)]],"")</f>
        <v/>
      </c>
      <c r="BT289" s="19"/>
    </row>
    <row r="290" spans="14:72">
      <c r="N290" s="48"/>
      <c r="U290" s="43" t="str">
        <f>IFERROR(VLOOKUP(Table1[[#This Row],[Applicable FRP]],Dropdowns!$C$2:$E$15,3,FALSE),"")</f>
        <v/>
      </c>
      <c r="V290" s="43" t="str">
        <f>IFERROR(VLOOKUP(Table1[[#This Row],[LC TMDL Drainage Area]],Dropdowns!$P$3:$Q$23,2,FALSE),"")</f>
        <v/>
      </c>
      <c r="AN290" s="50"/>
      <c r="AP290" s="19"/>
      <c r="AQ290" s="19"/>
      <c r="AR29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9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9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9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9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90" s="19" t="str">
        <f>IFERROR(Table1[[#This Row],[* Practice Efficiency]]*Table1[[#This Row],[* Load Before Treatment (kg/yr)]],"")</f>
        <v/>
      </c>
      <c r="AX290" s="100">
        <v>0</v>
      </c>
      <c r="AY290" s="44" t="s">
        <v>121</v>
      </c>
      <c r="BA290" s="101">
        <v>1</v>
      </c>
      <c r="BB29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90" s="44"/>
      <c r="BD290" s="44"/>
      <c r="BJ290" s="43"/>
      <c r="BK290" s="45"/>
      <c r="BL290" s="45"/>
      <c r="BM29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9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9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9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9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90" s="19" t="str">
        <f>IFERROR(Table1[[#This Row],[* Prior Practice Efficiency]]*Table1[[#This Row],[* Prior Load Before Treatment (kg/year)]],"")</f>
        <v/>
      </c>
      <c r="BT290" s="19"/>
    </row>
    <row r="291" spans="14:72">
      <c r="N291" s="48"/>
      <c r="U291" s="43" t="str">
        <f>IFERROR(VLOOKUP(Table1[[#This Row],[Applicable FRP]],Dropdowns!$C$2:$E$15,3,FALSE),"")</f>
        <v/>
      </c>
      <c r="V291" s="43" t="str">
        <f>IFERROR(VLOOKUP(Table1[[#This Row],[LC TMDL Drainage Area]],Dropdowns!$P$3:$Q$23,2,FALSE),"")</f>
        <v/>
      </c>
      <c r="AN291" s="50"/>
      <c r="AP291" s="19"/>
      <c r="AQ291" s="19"/>
      <c r="AR29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9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9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9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9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91" s="19" t="str">
        <f>IFERROR(Table1[[#This Row],[* Practice Efficiency]]*Table1[[#This Row],[* Load Before Treatment (kg/yr)]],"")</f>
        <v/>
      </c>
      <c r="AX291" s="100">
        <v>0</v>
      </c>
      <c r="AY291" s="44" t="s">
        <v>121</v>
      </c>
      <c r="BA291" s="101">
        <v>1</v>
      </c>
      <c r="BB29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91" s="44"/>
      <c r="BD291" s="44"/>
      <c r="BJ291" s="43"/>
      <c r="BK291" s="45"/>
      <c r="BL291" s="45"/>
      <c r="BM29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9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9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9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9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91" s="19" t="str">
        <f>IFERROR(Table1[[#This Row],[* Prior Practice Efficiency]]*Table1[[#This Row],[* Prior Load Before Treatment (kg/year)]],"")</f>
        <v/>
      </c>
      <c r="BT291" s="19"/>
    </row>
    <row r="292" spans="14:72">
      <c r="N292" s="48"/>
      <c r="U292" s="43" t="str">
        <f>IFERROR(VLOOKUP(Table1[[#This Row],[Applicable FRP]],Dropdowns!$C$2:$E$15,3,FALSE),"")</f>
        <v/>
      </c>
      <c r="V292" s="43" t="str">
        <f>IFERROR(VLOOKUP(Table1[[#This Row],[LC TMDL Drainage Area]],Dropdowns!$P$3:$Q$23,2,FALSE),"")</f>
        <v/>
      </c>
      <c r="AN292" s="50"/>
      <c r="AP292" s="19"/>
      <c r="AQ292" s="19"/>
      <c r="AR29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9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9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9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9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92" s="19" t="str">
        <f>IFERROR(Table1[[#This Row],[* Practice Efficiency]]*Table1[[#This Row],[* Load Before Treatment (kg/yr)]],"")</f>
        <v/>
      </c>
      <c r="AX292" s="100">
        <v>0</v>
      </c>
      <c r="AY292" s="44" t="s">
        <v>121</v>
      </c>
      <c r="BA292" s="101">
        <v>1</v>
      </c>
      <c r="BB29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92" s="44"/>
      <c r="BD292" s="44"/>
      <c r="BJ292" s="43"/>
      <c r="BK292" s="45"/>
      <c r="BL292" s="45"/>
      <c r="BM29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9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9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9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9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92" s="19" t="str">
        <f>IFERROR(Table1[[#This Row],[* Prior Practice Efficiency]]*Table1[[#This Row],[* Prior Load Before Treatment (kg/year)]],"")</f>
        <v/>
      </c>
      <c r="BT292" s="19"/>
    </row>
    <row r="293" spans="14:72">
      <c r="N293" s="48"/>
      <c r="U293" s="43" t="str">
        <f>IFERROR(VLOOKUP(Table1[[#This Row],[Applicable FRP]],Dropdowns!$C$2:$E$15,3,FALSE),"")</f>
        <v/>
      </c>
      <c r="V293" s="43" t="str">
        <f>IFERROR(VLOOKUP(Table1[[#This Row],[LC TMDL Drainage Area]],Dropdowns!$P$3:$Q$23,2,FALSE),"")</f>
        <v/>
      </c>
      <c r="AN293" s="50"/>
      <c r="AP293" s="19"/>
      <c r="AQ293" s="19"/>
      <c r="AR29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9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9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9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9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93" s="19" t="str">
        <f>IFERROR(Table1[[#This Row],[* Practice Efficiency]]*Table1[[#This Row],[* Load Before Treatment (kg/yr)]],"")</f>
        <v/>
      </c>
      <c r="AX293" s="100">
        <v>0</v>
      </c>
      <c r="AY293" s="44" t="s">
        <v>121</v>
      </c>
      <c r="BA293" s="101">
        <v>1</v>
      </c>
      <c r="BB29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93" s="44"/>
      <c r="BD293" s="44"/>
      <c r="BJ293" s="43"/>
      <c r="BK293" s="45"/>
      <c r="BL293" s="45"/>
      <c r="BM29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9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9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9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9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93" s="19" t="str">
        <f>IFERROR(Table1[[#This Row],[* Prior Practice Efficiency]]*Table1[[#This Row],[* Prior Load Before Treatment (kg/year)]],"")</f>
        <v/>
      </c>
      <c r="BT293" s="19"/>
    </row>
    <row r="294" spans="14:72">
      <c r="N294" s="48"/>
      <c r="U294" s="43" t="str">
        <f>IFERROR(VLOOKUP(Table1[[#This Row],[Applicable FRP]],Dropdowns!$C$2:$E$15,3,FALSE),"")</f>
        <v/>
      </c>
      <c r="V294" s="43" t="str">
        <f>IFERROR(VLOOKUP(Table1[[#This Row],[LC TMDL Drainage Area]],Dropdowns!$P$3:$Q$23,2,FALSE),"")</f>
        <v/>
      </c>
      <c r="AN294" s="50"/>
      <c r="AP294" s="19"/>
      <c r="AQ294" s="19"/>
      <c r="AR29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9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9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9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9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94" s="19" t="str">
        <f>IFERROR(Table1[[#This Row],[* Practice Efficiency]]*Table1[[#This Row],[* Load Before Treatment (kg/yr)]],"")</f>
        <v/>
      </c>
      <c r="AX294" s="100">
        <v>0</v>
      </c>
      <c r="AY294" s="44" t="s">
        <v>121</v>
      </c>
      <c r="BA294" s="101">
        <v>1</v>
      </c>
      <c r="BB29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94" s="44"/>
      <c r="BD294" s="44"/>
      <c r="BJ294" s="43"/>
      <c r="BK294" s="45"/>
      <c r="BL294" s="45"/>
      <c r="BM29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9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9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9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9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94" s="19" t="str">
        <f>IFERROR(Table1[[#This Row],[* Prior Practice Efficiency]]*Table1[[#This Row],[* Prior Load Before Treatment (kg/year)]],"")</f>
        <v/>
      </c>
      <c r="BT294" s="19"/>
    </row>
    <row r="295" spans="14:72">
      <c r="N295" s="48"/>
      <c r="U295" s="43" t="str">
        <f>IFERROR(VLOOKUP(Table1[[#This Row],[Applicable FRP]],Dropdowns!$C$2:$E$15,3,FALSE),"")</f>
        <v/>
      </c>
      <c r="V295" s="43" t="str">
        <f>IFERROR(VLOOKUP(Table1[[#This Row],[LC TMDL Drainage Area]],Dropdowns!$P$3:$Q$23,2,FALSE),"")</f>
        <v/>
      </c>
      <c r="AN295" s="50"/>
      <c r="AP295" s="19"/>
      <c r="AQ295" s="19"/>
      <c r="AR29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9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9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9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9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95" s="19" t="str">
        <f>IFERROR(Table1[[#This Row],[* Practice Efficiency]]*Table1[[#This Row],[* Load Before Treatment (kg/yr)]],"")</f>
        <v/>
      </c>
      <c r="AX295" s="100">
        <v>0</v>
      </c>
      <c r="AY295" s="44" t="s">
        <v>121</v>
      </c>
      <c r="BA295" s="101">
        <v>1</v>
      </c>
      <c r="BB29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95" s="44"/>
      <c r="BD295" s="44"/>
      <c r="BJ295" s="43"/>
      <c r="BK295" s="45"/>
      <c r="BL295" s="45"/>
      <c r="BM29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9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9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9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9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95" s="19" t="str">
        <f>IFERROR(Table1[[#This Row],[* Prior Practice Efficiency]]*Table1[[#This Row],[* Prior Load Before Treatment (kg/year)]],"")</f>
        <v/>
      </c>
      <c r="BT295" s="19"/>
    </row>
    <row r="296" spans="14:72">
      <c r="N296" s="48"/>
      <c r="U296" s="43" t="str">
        <f>IFERROR(VLOOKUP(Table1[[#This Row],[Applicable FRP]],Dropdowns!$C$2:$E$15,3,FALSE),"")</f>
        <v/>
      </c>
      <c r="V296" s="43" t="str">
        <f>IFERROR(VLOOKUP(Table1[[#This Row],[LC TMDL Drainage Area]],Dropdowns!$P$3:$Q$23,2,FALSE),"")</f>
        <v/>
      </c>
      <c r="AN296" s="50"/>
      <c r="AP296" s="19"/>
      <c r="AQ296" s="19"/>
      <c r="AR29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9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9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9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9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96" s="19" t="str">
        <f>IFERROR(Table1[[#This Row],[* Practice Efficiency]]*Table1[[#This Row],[* Load Before Treatment (kg/yr)]],"")</f>
        <v/>
      </c>
      <c r="AX296" s="100">
        <v>0</v>
      </c>
      <c r="AY296" s="44" t="s">
        <v>121</v>
      </c>
      <c r="BA296" s="101">
        <v>1</v>
      </c>
      <c r="BB29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96" s="44"/>
      <c r="BD296" s="44"/>
      <c r="BJ296" s="43"/>
      <c r="BK296" s="45"/>
      <c r="BL296" s="45"/>
      <c r="BM29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9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9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9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9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96" s="19" t="str">
        <f>IFERROR(Table1[[#This Row],[* Prior Practice Efficiency]]*Table1[[#This Row],[* Prior Load Before Treatment (kg/year)]],"")</f>
        <v/>
      </c>
      <c r="BT296" s="19"/>
    </row>
    <row r="297" spans="14:72">
      <c r="N297" s="48"/>
      <c r="U297" s="43" t="str">
        <f>IFERROR(VLOOKUP(Table1[[#This Row],[Applicable FRP]],Dropdowns!$C$2:$E$15,3,FALSE),"")</f>
        <v/>
      </c>
      <c r="V297" s="43" t="str">
        <f>IFERROR(VLOOKUP(Table1[[#This Row],[LC TMDL Drainage Area]],Dropdowns!$P$3:$Q$23,2,FALSE),"")</f>
        <v/>
      </c>
      <c r="AN297" s="50"/>
      <c r="AP297" s="19"/>
      <c r="AQ297" s="19"/>
      <c r="AR29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9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9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9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9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97" s="19" t="str">
        <f>IFERROR(Table1[[#This Row],[* Practice Efficiency]]*Table1[[#This Row],[* Load Before Treatment (kg/yr)]],"")</f>
        <v/>
      </c>
      <c r="AX297" s="100">
        <v>0</v>
      </c>
      <c r="AY297" s="44" t="s">
        <v>121</v>
      </c>
      <c r="BA297" s="101">
        <v>1</v>
      </c>
      <c r="BB29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97" s="44"/>
      <c r="BD297" s="44"/>
      <c r="BJ297" s="43"/>
      <c r="BK297" s="45"/>
      <c r="BL297" s="45"/>
      <c r="BM29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9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9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9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9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97" s="19" t="str">
        <f>IFERROR(Table1[[#This Row],[* Prior Practice Efficiency]]*Table1[[#This Row],[* Prior Load Before Treatment (kg/year)]],"")</f>
        <v/>
      </c>
      <c r="BT297" s="19"/>
    </row>
    <row r="298" spans="14:72">
      <c r="N298" s="48"/>
      <c r="U298" s="43" t="str">
        <f>IFERROR(VLOOKUP(Table1[[#This Row],[Applicable FRP]],Dropdowns!$C$2:$E$15,3,FALSE),"")</f>
        <v/>
      </c>
      <c r="V298" s="43" t="str">
        <f>IFERROR(VLOOKUP(Table1[[#This Row],[LC TMDL Drainage Area]],Dropdowns!$P$3:$Q$23,2,FALSE),"")</f>
        <v/>
      </c>
      <c r="AN298" s="50"/>
      <c r="AP298" s="19"/>
      <c r="AQ298" s="19"/>
      <c r="AR29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9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9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9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9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98" s="19" t="str">
        <f>IFERROR(Table1[[#This Row],[* Practice Efficiency]]*Table1[[#This Row],[* Load Before Treatment (kg/yr)]],"")</f>
        <v/>
      </c>
      <c r="AX298" s="100">
        <v>0</v>
      </c>
      <c r="AY298" s="44" t="s">
        <v>121</v>
      </c>
      <c r="BA298" s="101">
        <v>1</v>
      </c>
      <c r="BB29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98" s="44"/>
      <c r="BD298" s="44"/>
      <c r="BJ298" s="43"/>
      <c r="BK298" s="45"/>
      <c r="BL298" s="45"/>
      <c r="BM29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9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9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9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9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98" s="19" t="str">
        <f>IFERROR(Table1[[#This Row],[* Prior Practice Efficiency]]*Table1[[#This Row],[* Prior Load Before Treatment (kg/year)]],"")</f>
        <v/>
      </c>
      <c r="BT298" s="19"/>
    </row>
    <row r="299" spans="14:72">
      <c r="N299" s="48"/>
      <c r="U299" s="43" t="str">
        <f>IFERROR(VLOOKUP(Table1[[#This Row],[Applicable FRP]],Dropdowns!$C$2:$E$15,3,FALSE),"")</f>
        <v/>
      </c>
      <c r="V299" s="43" t="str">
        <f>IFERROR(VLOOKUP(Table1[[#This Row],[LC TMDL Drainage Area]],Dropdowns!$P$3:$Q$23,2,FALSE),"")</f>
        <v/>
      </c>
      <c r="AN299" s="50"/>
      <c r="AP299" s="19"/>
      <c r="AQ299" s="19"/>
      <c r="AR29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29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29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29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29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299" s="19" t="str">
        <f>IFERROR(Table1[[#This Row],[* Practice Efficiency]]*Table1[[#This Row],[* Load Before Treatment (kg/yr)]],"")</f>
        <v/>
      </c>
      <c r="AX299" s="100">
        <v>0</v>
      </c>
      <c r="AY299" s="44" t="s">
        <v>121</v>
      </c>
      <c r="BA299" s="101">
        <v>1</v>
      </c>
      <c r="BB29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299" s="44"/>
      <c r="BD299" s="44"/>
      <c r="BJ299" s="43"/>
      <c r="BK299" s="45"/>
      <c r="BL299" s="45"/>
      <c r="BM29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29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29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29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29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299" s="19" t="str">
        <f>IFERROR(Table1[[#This Row],[* Prior Practice Efficiency]]*Table1[[#This Row],[* Prior Load Before Treatment (kg/year)]],"")</f>
        <v/>
      </c>
      <c r="BT299" s="19"/>
    </row>
    <row r="300" spans="14:72">
      <c r="N300" s="48"/>
      <c r="U300" s="43" t="str">
        <f>IFERROR(VLOOKUP(Table1[[#This Row],[Applicable FRP]],Dropdowns!$C$2:$E$15,3,FALSE),"")</f>
        <v/>
      </c>
      <c r="V300" s="43" t="str">
        <f>IFERROR(VLOOKUP(Table1[[#This Row],[LC TMDL Drainage Area]],Dropdowns!$P$3:$Q$23,2,FALSE),"")</f>
        <v/>
      </c>
      <c r="AN300" s="50"/>
      <c r="AP300" s="19"/>
      <c r="AQ300" s="19"/>
      <c r="AR30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0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0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0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0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00" s="19" t="str">
        <f>IFERROR(Table1[[#This Row],[* Practice Efficiency]]*Table1[[#This Row],[* Load Before Treatment (kg/yr)]],"")</f>
        <v/>
      </c>
      <c r="AX300" s="100">
        <v>0</v>
      </c>
      <c r="AY300" s="44" t="s">
        <v>121</v>
      </c>
      <c r="BA300" s="101">
        <v>1</v>
      </c>
      <c r="BB30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00" s="44"/>
      <c r="BD300" s="44"/>
      <c r="BJ300" s="43"/>
      <c r="BK300" s="45"/>
      <c r="BL300" s="45"/>
      <c r="BM30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0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0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0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0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00" s="19" t="str">
        <f>IFERROR(Table1[[#This Row],[* Prior Practice Efficiency]]*Table1[[#This Row],[* Prior Load Before Treatment (kg/year)]],"")</f>
        <v/>
      </c>
      <c r="BT300" s="19"/>
    </row>
    <row r="301" spans="14:72">
      <c r="N301" s="48"/>
      <c r="U301" s="43" t="str">
        <f>IFERROR(VLOOKUP(Table1[[#This Row],[Applicable FRP]],Dropdowns!$C$2:$E$15,3,FALSE),"")</f>
        <v/>
      </c>
      <c r="V301" s="43" t="str">
        <f>IFERROR(VLOOKUP(Table1[[#This Row],[LC TMDL Drainage Area]],Dropdowns!$P$3:$Q$23,2,FALSE),"")</f>
        <v/>
      </c>
      <c r="AN301" s="50"/>
      <c r="AP301" s="19"/>
      <c r="AQ301" s="19"/>
      <c r="AR30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0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0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0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0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01" s="19" t="str">
        <f>IFERROR(Table1[[#This Row],[* Practice Efficiency]]*Table1[[#This Row],[* Load Before Treatment (kg/yr)]],"")</f>
        <v/>
      </c>
      <c r="AX301" s="100">
        <v>0</v>
      </c>
      <c r="AY301" s="44" t="s">
        <v>121</v>
      </c>
      <c r="BA301" s="101">
        <v>1</v>
      </c>
      <c r="BB30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01" s="44"/>
      <c r="BD301" s="44"/>
      <c r="BJ301" s="43"/>
      <c r="BK301" s="45"/>
      <c r="BL301" s="45"/>
      <c r="BM30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0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0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0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0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01" s="19" t="str">
        <f>IFERROR(Table1[[#This Row],[* Prior Practice Efficiency]]*Table1[[#This Row],[* Prior Load Before Treatment (kg/year)]],"")</f>
        <v/>
      </c>
      <c r="BT301" s="19"/>
    </row>
    <row r="302" spans="14:72">
      <c r="N302" s="48"/>
      <c r="U302" s="43" t="str">
        <f>IFERROR(VLOOKUP(Table1[[#This Row],[Applicable FRP]],Dropdowns!$C$2:$E$15,3,FALSE),"")</f>
        <v/>
      </c>
      <c r="V302" s="43" t="str">
        <f>IFERROR(VLOOKUP(Table1[[#This Row],[LC TMDL Drainage Area]],Dropdowns!$P$3:$Q$23,2,FALSE),"")</f>
        <v/>
      </c>
      <c r="AN302" s="50"/>
      <c r="AP302" s="19"/>
      <c r="AQ302" s="19"/>
      <c r="AR30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0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0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0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0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02" s="19" t="str">
        <f>IFERROR(Table1[[#This Row],[* Practice Efficiency]]*Table1[[#This Row],[* Load Before Treatment (kg/yr)]],"")</f>
        <v/>
      </c>
      <c r="AX302" s="100">
        <v>0</v>
      </c>
      <c r="AY302" s="44" t="s">
        <v>121</v>
      </c>
      <c r="BA302" s="101">
        <v>1</v>
      </c>
      <c r="BB30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02" s="44"/>
      <c r="BD302" s="44"/>
      <c r="BJ302" s="43"/>
      <c r="BK302" s="45"/>
      <c r="BL302" s="45"/>
      <c r="BM30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0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0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0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0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02" s="19" t="str">
        <f>IFERROR(Table1[[#This Row],[* Prior Practice Efficiency]]*Table1[[#This Row],[* Prior Load Before Treatment (kg/year)]],"")</f>
        <v/>
      </c>
      <c r="BT302" s="19"/>
    </row>
    <row r="303" spans="14:72">
      <c r="N303" s="48"/>
      <c r="U303" s="43" t="str">
        <f>IFERROR(VLOOKUP(Table1[[#This Row],[Applicable FRP]],Dropdowns!$C$2:$E$15,3,FALSE),"")</f>
        <v/>
      </c>
      <c r="V303" s="43" t="str">
        <f>IFERROR(VLOOKUP(Table1[[#This Row],[LC TMDL Drainage Area]],Dropdowns!$P$3:$Q$23,2,FALSE),"")</f>
        <v/>
      </c>
      <c r="AN303" s="50"/>
      <c r="AP303" s="19"/>
      <c r="AQ303" s="19"/>
      <c r="AR30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0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0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0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0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03" s="19" t="str">
        <f>IFERROR(Table1[[#This Row],[* Practice Efficiency]]*Table1[[#This Row],[* Load Before Treatment (kg/yr)]],"")</f>
        <v/>
      </c>
      <c r="AX303" s="100">
        <v>0</v>
      </c>
      <c r="AY303" s="44" t="s">
        <v>121</v>
      </c>
      <c r="BA303" s="101">
        <v>1</v>
      </c>
      <c r="BB30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03" s="44"/>
      <c r="BD303" s="44"/>
      <c r="BJ303" s="43"/>
      <c r="BK303" s="45"/>
      <c r="BL303" s="45"/>
      <c r="BM30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0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0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0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0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03" s="19" t="str">
        <f>IFERROR(Table1[[#This Row],[* Prior Practice Efficiency]]*Table1[[#This Row],[* Prior Load Before Treatment (kg/year)]],"")</f>
        <v/>
      </c>
      <c r="BT303" s="19"/>
    </row>
    <row r="304" spans="14:72">
      <c r="N304" s="48"/>
      <c r="U304" s="43" t="str">
        <f>IFERROR(VLOOKUP(Table1[[#This Row],[Applicable FRP]],Dropdowns!$C$2:$E$15,3,FALSE),"")</f>
        <v/>
      </c>
      <c r="V304" s="43" t="str">
        <f>IFERROR(VLOOKUP(Table1[[#This Row],[LC TMDL Drainage Area]],Dropdowns!$P$3:$Q$23,2,FALSE),"")</f>
        <v/>
      </c>
      <c r="AN304" s="50"/>
      <c r="AP304" s="19"/>
      <c r="AQ304" s="19"/>
      <c r="AR30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0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0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0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0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04" s="19" t="str">
        <f>IFERROR(Table1[[#This Row],[* Practice Efficiency]]*Table1[[#This Row],[* Load Before Treatment (kg/yr)]],"")</f>
        <v/>
      </c>
      <c r="AX304" s="100">
        <v>0</v>
      </c>
      <c r="AY304" s="44" t="s">
        <v>121</v>
      </c>
      <c r="BA304" s="101">
        <v>1</v>
      </c>
      <c r="BB30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04" s="44"/>
      <c r="BD304" s="44"/>
      <c r="BJ304" s="43"/>
      <c r="BK304" s="45"/>
      <c r="BL304" s="45"/>
      <c r="BM30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0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0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0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0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04" s="19" t="str">
        <f>IFERROR(Table1[[#This Row],[* Prior Practice Efficiency]]*Table1[[#This Row],[* Prior Load Before Treatment (kg/year)]],"")</f>
        <v/>
      </c>
      <c r="BT304" s="19"/>
    </row>
    <row r="305" spans="14:72">
      <c r="N305" s="48"/>
      <c r="U305" s="43" t="str">
        <f>IFERROR(VLOOKUP(Table1[[#This Row],[Applicable FRP]],Dropdowns!$C$2:$E$15,3,FALSE),"")</f>
        <v/>
      </c>
      <c r="V305" s="43" t="str">
        <f>IFERROR(VLOOKUP(Table1[[#This Row],[LC TMDL Drainage Area]],Dropdowns!$P$3:$Q$23,2,FALSE),"")</f>
        <v/>
      </c>
      <c r="AN305" s="50"/>
      <c r="AP305" s="19"/>
      <c r="AQ305" s="19"/>
      <c r="AR30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0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0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0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0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05" s="19" t="str">
        <f>IFERROR(Table1[[#This Row],[* Practice Efficiency]]*Table1[[#This Row],[* Load Before Treatment (kg/yr)]],"")</f>
        <v/>
      </c>
      <c r="AX305" s="100">
        <v>0</v>
      </c>
      <c r="AY305" s="44" t="s">
        <v>121</v>
      </c>
      <c r="BA305" s="101">
        <v>1</v>
      </c>
      <c r="BB30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05" s="44"/>
      <c r="BD305" s="44"/>
      <c r="BJ305" s="43"/>
      <c r="BK305" s="45"/>
      <c r="BL305" s="45"/>
      <c r="BM30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0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0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0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0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05" s="19" t="str">
        <f>IFERROR(Table1[[#This Row],[* Prior Practice Efficiency]]*Table1[[#This Row],[* Prior Load Before Treatment (kg/year)]],"")</f>
        <v/>
      </c>
      <c r="BT305" s="19"/>
    </row>
    <row r="306" spans="14:72">
      <c r="N306" s="48"/>
      <c r="U306" s="43" t="str">
        <f>IFERROR(VLOOKUP(Table1[[#This Row],[Applicable FRP]],Dropdowns!$C$2:$E$15,3,FALSE),"")</f>
        <v/>
      </c>
      <c r="V306" s="43" t="str">
        <f>IFERROR(VLOOKUP(Table1[[#This Row],[LC TMDL Drainage Area]],Dropdowns!$P$3:$Q$23,2,FALSE),"")</f>
        <v/>
      </c>
      <c r="AN306" s="50"/>
      <c r="AP306" s="19"/>
      <c r="AQ306" s="19"/>
      <c r="AR30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0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0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0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0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06" s="19" t="str">
        <f>IFERROR(Table1[[#This Row],[* Practice Efficiency]]*Table1[[#This Row],[* Load Before Treatment (kg/yr)]],"")</f>
        <v/>
      </c>
      <c r="AX306" s="100">
        <v>0</v>
      </c>
      <c r="AY306" s="44" t="s">
        <v>121</v>
      </c>
      <c r="BA306" s="101">
        <v>1</v>
      </c>
      <c r="BB30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06" s="44"/>
      <c r="BD306" s="44"/>
      <c r="BJ306" s="43"/>
      <c r="BK306" s="45"/>
      <c r="BL306" s="45"/>
      <c r="BM30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0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0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0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0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06" s="19" t="str">
        <f>IFERROR(Table1[[#This Row],[* Prior Practice Efficiency]]*Table1[[#This Row],[* Prior Load Before Treatment (kg/year)]],"")</f>
        <v/>
      </c>
      <c r="BT306" s="19"/>
    </row>
    <row r="307" spans="14:72">
      <c r="N307" s="48"/>
      <c r="U307" s="43" t="str">
        <f>IFERROR(VLOOKUP(Table1[[#This Row],[Applicable FRP]],Dropdowns!$C$2:$E$15,3,FALSE),"")</f>
        <v/>
      </c>
      <c r="V307" s="43" t="str">
        <f>IFERROR(VLOOKUP(Table1[[#This Row],[LC TMDL Drainage Area]],Dropdowns!$P$3:$Q$23,2,FALSE),"")</f>
        <v/>
      </c>
      <c r="AN307" s="50"/>
      <c r="AP307" s="19"/>
      <c r="AQ307" s="19"/>
      <c r="AR30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0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0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0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0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07" s="19" t="str">
        <f>IFERROR(Table1[[#This Row],[* Practice Efficiency]]*Table1[[#This Row],[* Load Before Treatment (kg/yr)]],"")</f>
        <v/>
      </c>
      <c r="AX307" s="100">
        <v>0</v>
      </c>
      <c r="AY307" s="44" t="s">
        <v>121</v>
      </c>
      <c r="BA307" s="101">
        <v>1</v>
      </c>
      <c r="BB30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07" s="44"/>
      <c r="BD307" s="44"/>
      <c r="BJ307" s="43"/>
      <c r="BK307" s="45"/>
      <c r="BL307" s="45"/>
      <c r="BM30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0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0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0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0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07" s="19" t="str">
        <f>IFERROR(Table1[[#This Row],[* Prior Practice Efficiency]]*Table1[[#This Row],[* Prior Load Before Treatment (kg/year)]],"")</f>
        <v/>
      </c>
      <c r="BT307" s="19"/>
    </row>
    <row r="308" spans="14:72">
      <c r="N308" s="48"/>
      <c r="U308" s="43" t="str">
        <f>IFERROR(VLOOKUP(Table1[[#This Row],[Applicable FRP]],Dropdowns!$C$2:$E$15,3,FALSE),"")</f>
        <v/>
      </c>
      <c r="V308" s="43" t="str">
        <f>IFERROR(VLOOKUP(Table1[[#This Row],[LC TMDL Drainage Area]],Dropdowns!$P$3:$Q$23,2,FALSE),"")</f>
        <v/>
      </c>
      <c r="AN308" s="50"/>
      <c r="AP308" s="19"/>
      <c r="AQ308" s="19"/>
      <c r="AR30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0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0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0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0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08" s="19" t="str">
        <f>IFERROR(Table1[[#This Row],[* Practice Efficiency]]*Table1[[#This Row],[* Load Before Treatment (kg/yr)]],"")</f>
        <v/>
      </c>
      <c r="AX308" s="100">
        <v>0</v>
      </c>
      <c r="AY308" s="44" t="s">
        <v>121</v>
      </c>
      <c r="BA308" s="101">
        <v>1</v>
      </c>
      <c r="BB30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08" s="44"/>
      <c r="BD308" s="44"/>
      <c r="BJ308" s="43"/>
      <c r="BK308" s="45"/>
      <c r="BL308" s="45"/>
      <c r="BM30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0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0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0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0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08" s="19" t="str">
        <f>IFERROR(Table1[[#This Row],[* Prior Practice Efficiency]]*Table1[[#This Row],[* Prior Load Before Treatment (kg/year)]],"")</f>
        <v/>
      </c>
      <c r="BT308" s="19"/>
    </row>
    <row r="309" spans="14:72">
      <c r="N309" s="48"/>
      <c r="U309" s="43" t="str">
        <f>IFERROR(VLOOKUP(Table1[[#This Row],[Applicable FRP]],Dropdowns!$C$2:$E$15,3,FALSE),"")</f>
        <v/>
      </c>
      <c r="V309" s="43" t="str">
        <f>IFERROR(VLOOKUP(Table1[[#This Row],[LC TMDL Drainage Area]],Dropdowns!$P$3:$Q$23,2,FALSE),"")</f>
        <v/>
      </c>
      <c r="AN309" s="50"/>
      <c r="AP309" s="19"/>
      <c r="AQ309" s="19"/>
      <c r="AR30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0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0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0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0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09" s="19" t="str">
        <f>IFERROR(Table1[[#This Row],[* Practice Efficiency]]*Table1[[#This Row],[* Load Before Treatment (kg/yr)]],"")</f>
        <v/>
      </c>
      <c r="AX309" s="100">
        <v>0</v>
      </c>
      <c r="AY309" s="44" t="s">
        <v>121</v>
      </c>
      <c r="BA309" s="101">
        <v>1</v>
      </c>
      <c r="BB30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09" s="44"/>
      <c r="BD309" s="44"/>
      <c r="BJ309" s="43"/>
      <c r="BK309" s="45"/>
      <c r="BL309" s="45"/>
      <c r="BM30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0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0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0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0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09" s="19" t="str">
        <f>IFERROR(Table1[[#This Row],[* Prior Practice Efficiency]]*Table1[[#This Row],[* Prior Load Before Treatment (kg/year)]],"")</f>
        <v/>
      </c>
      <c r="BT309" s="19"/>
    </row>
    <row r="310" spans="14:72">
      <c r="N310" s="48"/>
      <c r="U310" s="43" t="str">
        <f>IFERROR(VLOOKUP(Table1[[#This Row],[Applicable FRP]],Dropdowns!$C$2:$E$15,3,FALSE),"")</f>
        <v/>
      </c>
      <c r="V310" s="43" t="str">
        <f>IFERROR(VLOOKUP(Table1[[#This Row],[LC TMDL Drainage Area]],Dropdowns!$P$3:$Q$23,2,FALSE),"")</f>
        <v/>
      </c>
      <c r="AN310" s="50"/>
      <c r="AP310" s="19"/>
      <c r="AQ310" s="19"/>
      <c r="AR31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1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1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1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1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10" s="19" t="str">
        <f>IFERROR(Table1[[#This Row],[* Practice Efficiency]]*Table1[[#This Row],[* Load Before Treatment (kg/yr)]],"")</f>
        <v/>
      </c>
      <c r="AX310" s="100">
        <v>0</v>
      </c>
      <c r="AY310" s="44" t="s">
        <v>121</v>
      </c>
      <c r="BA310" s="101">
        <v>1</v>
      </c>
      <c r="BB31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10" s="44"/>
      <c r="BD310" s="44"/>
      <c r="BJ310" s="43"/>
      <c r="BK310" s="45"/>
      <c r="BL310" s="45"/>
      <c r="BM31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1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1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1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1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10" s="19" t="str">
        <f>IFERROR(Table1[[#This Row],[* Prior Practice Efficiency]]*Table1[[#This Row],[* Prior Load Before Treatment (kg/year)]],"")</f>
        <v/>
      </c>
      <c r="BT310" s="19"/>
    </row>
    <row r="311" spans="14:72">
      <c r="N311" s="48"/>
      <c r="U311" s="43" t="str">
        <f>IFERROR(VLOOKUP(Table1[[#This Row],[Applicable FRP]],Dropdowns!$C$2:$E$15,3,FALSE),"")</f>
        <v/>
      </c>
      <c r="V311" s="43" t="str">
        <f>IFERROR(VLOOKUP(Table1[[#This Row],[LC TMDL Drainage Area]],Dropdowns!$P$3:$Q$23,2,FALSE),"")</f>
        <v/>
      </c>
      <c r="AN311" s="50"/>
      <c r="AP311" s="19"/>
      <c r="AQ311" s="19"/>
      <c r="AR31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1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1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1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1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11" s="19" t="str">
        <f>IFERROR(Table1[[#This Row],[* Practice Efficiency]]*Table1[[#This Row],[* Load Before Treatment (kg/yr)]],"")</f>
        <v/>
      </c>
      <c r="AX311" s="100">
        <v>0</v>
      </c>
      <c r="AY311" s="44" t="s">
        <v>121</v>
      </c>
      <c r="BA311" s="101">
        <v>1</v>
      </c>
      <c r="BB31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11" s="44"/>
      <c r="BD311" s="44"/>
      <c r="BJ311" s="43"/>
      <c r="BK311" s="45"/>
      <c r="BL311" s="45"/>
      <c r="BM31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1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1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1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1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11" s="19" t="str">
        <f>IFERROR(Table1[[#This Row],[* Prior Practice Efficiency]]*Table1[[#This Row],[* Prior Load Before Treatment (kg/year)]],"")</f>
        <v/>
      </c>
      <c r="BT311" s="19"/>
    </row>
    <row r="312" spans="14:72">
      <c r="N312" s="48"/>
      <c r="U312" s="43" t="str">
        <f>IFERROR(VLOOKUP(Table1[[#This Row],[Applicable FRP]],Dropdowns!$C$2:$E$15,3,FALSE),"")</f>
        <v/>
      </c>
      <c r="V312" s="43" t="str">
        <f>IFERROR(VLOOKUP(Table1[[#This Row],[LC TMDL Drainage Area]],Dropdowns!$P$3:$Q$23,2,FALSE),"")</f>
        <v/>
      </c>
      <c r="AN312" s="50"/>
      <c r="AP312" s="19"/>
      <c r="AQ312" s="19"/>
      <c r="AR31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1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1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1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1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12" s="19" t="str">
        <f>IFERROR(Table1[[#This Row],[* Practice Efficiency]]*Table1[[#This Row],[* Load Before Treatment (kg/yr)]],"")</f>
        <v/>
      </c>
      <c r="AX312" s="100">
        <v>0</v>
      </c>
      <c r="AY312" s="44" t="s">
        <v>121</v>
      </c>
      <c r="BA312" s="101">
        <v>1</v>
      </c>
      <c r="BB31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12" s="44"/>
      <c r="BD312" s="44"/>
      <c r="BJ312" s="43"/>
      <c r="BK312" s="45"/>
      <c r="BL312" s="45"/>
      <c r="BM31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1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1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1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1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12" s="19" t="str">
        <f>IFERROR(Table1[[#This Row],[* Prior Practice Efficiency]]*Table1[[#This Row],[* Prior Load Before Treatment (kg/year)]],"")</f>
        <v/>
      </c>
      <c r="BT312" s="19"/>
    </row>
    <row r="313" spans="14:72">
      <c r="N313" s="48"/>
      <c r="U313" s="43" t="str">
        <f>IFERROR(VLOOKUP(Table1[[#This Row],[Applicable FRP]],Dropdowns!$C$2:$E$15,3,FALSE),"")</f>
        <v/>
      </c>
      <c r="V313" s="43" t="str">
        <f>IFERROR(VLOOKUP(Table1[[#This Row],[LC TMDL Drainage Area]],Dropdowns!$P$3:$Q$23,2,FALSE),"")</f>
        <v/>
      </c>
      <c r="AN313" s="50"/>
      <c r="AP313" s="19"/>
      <c r="AQ313" s="19"/>
      <c r="AR31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1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1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1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1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13" s="19" t="str">
        <f>IFERROR(Table1[[#This Row],[* Practice Efficiency]]*Table1[[#This Row],[* Load Before Treatment (kg/yr)]],"")</f>
        <v/>
      </c>
      <c r="AX313" s="100">
        <v>0</v>
      </c>
      <c r="AY313" s="44" t="s">
        <v>121</v>
      </c>
      <c r="BA313" s="101">
        <v>1</v>
      </c>
      <c r="BB31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13" s="44"/>
      <c r="BD313" s="44"/>
      <c r="BJ313" s="43"/>
      <c r="BK313" s="45"/>
      <c r="BL313" s="45"/>
      <c r="BM31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1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1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1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1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13" s="19" t="str">
        <f>IFERROR(Table1[[#This Row],[* Prior Practice Efficiency]]*Table1[[#This Row],[* Prior Load Before Treatment (kg/year)]],"")</f>
        <v/>
      </c>
      <c r="BT313" s="19"/>
    </row>
    <row r="314" spans="14:72">
      <c r="N314" s="48"/>
      <c r="U314" s="43" t="str">
        <f>IFERROR(VLOOKUP(Table1[[#This Row],[Applicable FRP]],Dropdowns!$C$2:$E$15,3,FALSE),"")</f>
        <v/>
      </c>
      <c r="V314" s="43" t="str">
        <f>IFERROR(VLOOKUP(Table1[[#This Row],[LC TMDL Drainage Area]],Dropdowns!$P$3:$Q$23,2,FALSE),"")</f>
        <v/>
      </c>
      <c r="AN314" s="50"/>
      <c r="AP314" s="19"/>
      <c r="AQ314" s="19"/>
      <c r="AR31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1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1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1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1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14" s="19" t="str">
        <f>IFERROR(Table1[[#This Row],[* Practice Efficiency]]*Table1[[#This Row],[* Load Before Treatment (kg/yr)]],"")</f>
        <v/>
      </c>
      <c r="AX314" s="100">
        <v>0</v>
      </c>
      <c r="AY314" s="44" t="s">
        <v>121</v>
      </c>
      <c r="BA314" s="101">
        <v>1</v>
      </c>
      <c r="BB31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14" s="44"/>
      <c r="BD314" s="44"/>
      <c r="BJ314" s="43"/>
      <c r="BK314" s="45"/>
      <c r="BL314" s="45"/>
      <c r="BM31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1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1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1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1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14" s="19" t="str">
        <f>IFERROR(Table1[[#This Row],[* Prior Practice Efficiency]]*Table1[[#This Row],[* Prior Load Before Treatment (kg/year)]],"")</f>
        <v/>
      </c>
      <c r="BT314" s="19"/>
    </row>
    <row r="315" spans="14:72">
      <c r="N315" s="48"/>
      <c r="U315" s="43" t="str">
        <f>IFERROR(VLOOKUP(Table1[[#This Row],[Applicable FRP]],Dropdowns!$C$2:$E$15,3,FALSE),"")</f>
        <v/>
      </c>
      <c r="V315" s="43" t="str">
        <f>IFERROR(VLOOKUP(Table1[[#This Row],[LC TMDL Drainage Area]],Dropdowns!$P$3:$Q$23,2,FALSE),"")</f>
        <v/>
      </c>
      <c r="AN315" s="50"/>
      <c r="AP315" s="19"/>
      <c r="AQ315" s="19"/>
      <c r="AR31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1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1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1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1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15" s="19" t="str">
        <f>IFERROR(Table1[[#This Row],[* Practice Efficiency]]*Table1[[#This Row],[* Load Before Treatment (kg/yr)]],"")</f>
        <v/>
      </c>
      <c r="AX315" s="100">
        <v>0</v>
      </c>
      <c r="AY315" s="44" t="s">
        <v>121</v>
      </c>
      <c r="BA315" s="101">
        <v>1</v>
      </c>
      <c r="BB31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15" s="44"/>
      <c r="BD315" s="44"/>
      <c r="BJ315" s="43"/>
      <c r="BK315" s="45"/>
      <c r="BL315" s="45"/>
      <c r="BM31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1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1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1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1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15" s="19" t="str">
        <f>IFERROR(Table1[[#This Row],[* Prior Practice Efficiency]]*Table1[[#This Row],[* Prior Load Before Treatment (kg/year)]],"")</f>
        <v/>
      </c>
      <c r="BT315" s="19"/>
    </row>
    <row r="316" spans="14:72">
      <c r="N316" s="48"/>
      <c r="U316" s="43" t="str">
        <f>IFERROR(VLOOKUP(Table1[[#This Row],[Applicable FRP]],Dropdowns!$C$2:$E$15,3,FALSE),"")</f>
        <v/>
      </c>
      <c r="V316" s="43" t="str">
        <f>IFERROR(VLOOKUP(Table1[[#This Row],[LC TMDL Drainage Area]],Dropdowns!$P$3:$Q$23,2,FALSE),"")</f>
        <v/>
      </c>
      <c r="AN316" s="50"/>
      <c r="AP316" s="19"/>
      <c r="AQ316" s="19"/>
      <c r="AR31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1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1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1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1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16" s="19" t="str">
        <f>IFERROR(Table1[[#This Row],[* Practice Efficiency]]*Table1[[#This Row],[* Load Before Treatment (kg/yr)]],"")</f>
        <v/>
      </c>
      <c r="AX316" s="100">
        <v>0</v>
      </c>
      <c r="AY316" s="44" t="s">
        <v>121</v>
      </c>
      <c r="BA316" s="101">
        <v>1</v>
      </c>
      <c r="BB31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16" s="44"/>
      <c r="BD316" s="44"/>
      <c r="BJ316" s="43"/>
      <c r="BK316" s="45"/>
      <c r="BL316" s="45"/>
      <c r="BM31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1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1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1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1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16" s="19" t="str">
        <f>IFERROR(Table1[[#This Row],[* Prior Practice Efficiency]]*Table1[[#This Row],[* Prior Load Before Treatment (kg/year)]],"")</f>
        <v/>
      </c>
      <c r="BT316" s="19"/>
    </row>
    <row r="317" spans="14:72">
      <c r="N317" s="48"/>
      <c r="U317" s="43" t="str">
        <f>IFERROR(VLOOKUP(Table1[[#This Row],[Applicable FRP]],Dropdowns!$C$2:$E$15,3,FALSE),"")</f>
        <v/>
      </c>
      <c r="V317" s="43" t="str">
        <f>IFERROR(VLOOKUP(Table1[[#This Row],[LC TMDL Drainage Area]],Dropdowns!$P$3:$Q$23,2,FALSE),"")</f>
        <v/>
      </c>
      <c r="AN317" s="50"/>
      <c r="AP317" s="19"/>
      <c r="AQ317" s="19"/>
      <c r="AR31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1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1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1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1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17" s="19" t="str">
        <f>IFERROR(Table1[[#This Row],[* Practice Efficiency]]*Table1[[#This Row],[* Load Before Treatment (kg/yr)]],"")</f>
        <v/>
      </c>
      <c r="AX317" s="100">
        <v>0</v>
      </c>
      <c r="AY317" s="44" t="s">
        <v>121</v>
      </c>
      <c r="BA317" s="101">
        <v>1</v>
      </c>
      <c r="BB31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17" s="44"/>
      <c r="BD317" s="44"/>
      <c r="BJ317" s="43"/>
      <c r="BK317" s="45"/>
      <c r="BL317" s="45"/>
      <c r="BM31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1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1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1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1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17" s="19" t="str">
        <f>IFERROR(Table1[[#This Row],[* Prior Practice Efficiency]]*Table1[[#This Row],[* Prior Load Before Treatment (kg/year)]],"")</f>
        <v/>
      </c>
      <c r="BT317" s="19"/>
    </row>
    <row r="318" spans="14:72">
      <c r="N318" s="48"/>
      <c r="U318" s="43" t="str">
        <f>IFERROR(VLOOKUP(Table1[[#This Row],[Applicable FRP]],Dropdowns!$C$2:$E$15,3,FALSE),"")</f>
        <v/>
      </c>
      <c r="V318" s="43" t="str">
        <f>IFERROR(VLOOKUP(Table1[[#This Row],[LC TMDL Drainage Area]],Dropdowns!$P$3:$Q$23,2,FALSE),"")</f>
        <v/>
      </c>
      <c r="AN318" s="50"/>
      <c r="AP318" s="19"/>
      <c r="AQ318" s="19"/>
      <c r="AR31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1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1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1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1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18" s="19" t="str">
        <f>IFERROR(Table1[[#This Row],[* Practice Efficiency]]*Table1[[#This Row],[* Load Before Treatment (kg/yr)]],"")</f>
        <v/>
      </c>
      <c r="AX318" s="100">
        <v>0</v>
      </c>
      <c r="AY318" s="44" t="s">
        <v>121</v>
      </c>
      <c r="BA318" s="101">
        <v>1</v>
      </c>
      <c r="BB31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18" s="44"/>
      <c r="BD318" s="44"/>
      <c r="BJ318" s="43"/>
      <c r="BK318" s="45"/>
      <c r="BL318" s="45"/>
      <c r="BM31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1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1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1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1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18" s="19" t="str">
        <f>IFERROR(Table1[[#This Row],[* Prior Practice Efficiency]]*Table1[[#This Row],[* Prior Load Before Treatment (kg/year)]],"")</f>
        <v/>
      </c>
      <c r="BT318" s="19"/>
    </row>
    <row r="319" spans="14:72">
      <c r="N319" s="48"/>
      <c r="U319" s="43" t="str">
        <f>IFERROR(VLOOKUP(Table1[[#This Row],[Applicable FRP]],Dropdowns!$C$2:$E$15,3,FALSE),"")</f>
        <v/>
      </c>
      <c r="V319" s="43" t="str">
        <f>IFERROR(VLOOKUP(Table1[[#This Row],[LC TMDL Drainage Area]],Dropdowns!$P$3:$Q$23,2,FALSE),"")</f>
        <v/>
      </c>
      <c r="AN319" s="50"/>
      <c r="AP319" s="19"/>
      <c r="AQ319" s="19"/>
      <c r="AR31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1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1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1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1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19" s="19" t="str">
        <f>IFERROR(Table1[[#This Row],[* Practice Efficiency]]*Table1[[#This Row],[* Load Before Treatment (kg/yr)]],"")</f>
        <v/>
      </c>
      <c r="AX319" s="100">
        <v>0</v>
      </c>
      <c r="AY319" s="44" t="s">
        <v>121</v>
      </c>
      <c r="BA319" s="101">
        <v>1</v>
      </c>
      <c r="BB31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19" s="44"/>
      <c r="BD319" s="44"/>
      <c r="BJ319" s="43"/>
      <c r="BK319" s="45"/>
      <c r="BL319" s="45"/>
      <c r="BM31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1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1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1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1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19" s="19" t="str">
        <f>IFERROR(Table1[[#This Row],[* Prior Practice Efficiency]]*Table1[[#This Row],[* Prior Load Before Treatment (kg/year)]],"")</f>
        <v/>
      </c>
      <c r="BT319" s="19"/>
    </row>
    <row r="320" spans="14:72">
      <c r="N320" s="48"/>
      <c r="U320" s="43" t="str">
        <f>IFERROR(VLOOKUP(Table1[[#This Row],[Applicable FRP]],Dropdowns!$C$2:$E$15,3,FALSE),"")</f>
        <v/>
      </c>
      <c r="V320" s="43" t="str">
        <f>IFERROR(VLOOKUP(Table1[[#This Row],[LC TMDL Drainage Area]],Dropdowns!$P$3:$Q$23,2,FALSE),"")</f>
        <v/>
      </c>
      <c r="AN320" s="50"/>
      <c r="AP320" s="19"/>
      <c r="AQ320" s="19"/>
      <c r="AR32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2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2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2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2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20" s="19" t="str">
        <f>IFERROR(Table1[[#This Row],[* Practice Efficiency]]*Table1[[#This Row],[* Load Before Treatment (kg/yr)]],"")</f>
        <v/>
      </c>
      <c r="AX320" s="100">
        <v>0</v>
      </c>
      <c r="AY320" s="44" t="s">
        <v>121</v>
      </c>
      <c r="BA320" s="101">
        <v>1</v>
      </c>
      <c r="BB32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20" s="44"/>
      <c r="BD320" s="44"/>
      <c r="BJ320" s="43"/>
      <c r="BK320" s="45"/>
      <c r="BL320" s="45"/>
      <c r="BM32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2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2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2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2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20" s="19" t="str">
        <f>IFERROR(Table1[[#This Row],[* Prior Practice Efficiency]]*Table1[[#This Row],[* Prior Load Before Treatment (kg/year)]],"")</f>
        <v/>
      </c>
      <c r="BT320" s="19"/>
    </row>
    <row r="321" spans="14:72">
      <c r="N321" s="48"/>
      <c r="U321" s="43" t="str">
        <f>IFERROR(VLOOKUP(Table1[[#This Row],[Applicable FRP]],Dropdowns!$C$2:$E$15,3,FALSE),"")</f>
        <v/>
      </c>
      <c r="V321" s="43" t="str">
        <f>IFERROR(VLOOKUP(Table1[[#This Row],[LC TMDL Drainage Area]],Dropdowns!$P$3:$Q$23,2,FALSE),"")</f>
        <v/>
      </c>
      <c r="AN321" s="50"/>
      <c r="AP321" s="19"/>
      <c r="AQ321" s="19"/>
      <c r="AR32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2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2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2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2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21" s="19" t="str">
        <f>IFERROR(Table1[[#This Row],[* Practice Efficiency]]*Table1[[#This Row],[* Load Before Treatment (kg/yr)]],"")</f>
        <v/>
      </c>
      <c r="AX321" s="100">
        <v>0</v>
      </c>
      <c r="AY321" s="44" t="s">
        <v>121</v>
      </c>
      <c r="BA321" s="101">
        <v>1</v>
      </c>
      <c r="BB32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21" s="44"/>
      <c r="BD321" s="44"/>
      <c r="BJ321" s="43"/>
      <c r="BK321" s="45"/>
      <c r="BL321" s="45"/>
      <c r="BM32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2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2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2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2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21" s="19" t="str">
        <f>IFERROR(Table1[[#This Row],[* Prior Practice Efficiency]]*Table1[[#This Row],[* Prior Load Before Treatment (kg/year)]],"")</f>
        <v/>
      </c>
      <c r="BT321" s="19"/>
    </row>
    <row r="322" spans="14:72">
      <c r="N322" s="48"/>
      <c r="U322" s="43" t="str">
        <f>IFERROR(VLOOKUP(Table1[[#This Row],[Applicable FRP]],Dropdowns!$C$2:$E$15,3,FALSE),"")</f>
        <v/>
      </c>
      <c r="V322" s="43" t="str">
        <f>IFERROR(VLOOKUP(Table1[[#This Row],[LC TMDL Drainage Area]],Dropdowns!$P$3:$Q$23,2,FALSE),"")</f>
        <v/>
      </c>
      <c r="AN322" s="50"/>
      <c r="AP322" s="19"/>
      <c r="AQ322" s="19"/>
      <c r="AR32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2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2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2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2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22" s="19" t="str">
        <f>IFERROR(Table1[[#This Row],[* Practice Efficiency]]*Table1[[#This Row],[* Load Before Treatment (kg/yr)]],"")</f>
        <v/>
      </c>
      <c r="AX322" s="100">
        <v>0</v>
      </c>
      <c r="AY322" s="44" t="s">
        <v>121</v>
      </c>
      <c r="BA322" s="101">
        <v>1</v>
      </c>
      <c r="BB32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22" s="44"/>
      <c r="BD322" s="44"/>
      <c r="BJ322" s="43"/>
      <c r="BK322" s="45"/>
      <c r="BL322" s="45"/>
      <c r="BM32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2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2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2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2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22" s="19" t="str">
        <f>IFERROR(Table1[[#This Row],[* Prior Practice Efficiency]]*Table1[[#This Row],[* Prior Load Before Treatment (kg/year)]],"")</f>
        <v/>
      </c>
      <c r="BT322" s="19"/>
    </row>
    <row r="323" spans="14:72">
      <c r="N323" s="48"/>
      <c r="U323" s="43" t="str">
        <f>IFERROR(VLOOKUP(Table1[[#This Row],[Applicable FRP]],Dropdowns!$C$2:$E$15,3,FALSE),"")</f>
        <v/>
      </c>
      <c r="V323" s="43" t="str">
        <f>IFERROR(VLOOKUP(Table1[[#This Row],[LC TMDL Drainage Area]],Dropdowns!$P$3:$Q$23,2,FALSE),"")</f>
        <v/>
      </c>
      <c r="AN323" s="50"/>
      <c r="AP323" s="19"/>
      <c r="AQ323" s="19"/>
      <c r="AR32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2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2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2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2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23" s="19" t="str">
        <f>IFERROR(Table1[[#This Row],[* Practice Efficiency]]*Table1[[#This Row],[* Load Before Treatment (kg/yr)]],"")</f>
        <v/>
      </c>
      <c r="AX323" s="100">
        <v>0</v>
      </c>
      <c r="AY323" s="44" t="s">
        <v>121</v>
      </c>
      <c r="BA323" s="101">
        <v>1</v>
      </c>
      <c r="BB32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23" s="44"/>
      <c r="BD323" s="44"/>
      <c r="BJ323" s="43"/>
      <c r="BK323" s="45"/>
      <c r="BL323" s="45"/>
      <c r="BM32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2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2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2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2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23" s="19" t="str">
        <f>IFERROR(Table1[[#This Row],[* Prior Practice Efficiency]]*Table1[[#This Row],[* Prior Load Before Treatment (kg/year)]],"")</f>
        <v/>
      </c>
      <c r="BT323" s="19"/>
    </row>
    <row r="324" spans="14:72">
      <c r="N324" s="48"/>
      <c r="U324" s="43" t="str">
        <f>IFERROR(VLOOKUP(Table1[[#This Row],[Applicable FRP]],Dropdowns!$C$2:$E$15,3,FALSE),"")</f>
        <v/>
      </c>
      <c r="V324" s="43" t="str">
        <f>IFERROR(VLOOKUP(Table1[[#This Row],[LC TMDL Drainage Area]],Dropdowns!$P$3:$Q$23,2,FALSE),"")</f>
        <v/>
      </c>
      <c r="AN324" s="50"/>
      <c r="AP324" s="19"/>
      <c r="AQ324" s="19"/>
      <c r="AR32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2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2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2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2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24" s="19" t="str">
        <f>IFERROR(Table1[[#This Row],[* Practice Efficiency]]*Table1[[#This Row],[* Load Before Treatment (kg/yr)]],"")</f>
        <v/>
      </c>
      <c r="AX324" s="100">
        <v>0</v>
      </c>
      <c r="AY324" s="44" t="s">
        <v>121</v>
      </c>
      <c r="BA324" s="101">
        <v>1</v>
      </c>
      <c r="BB32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24" s="44"/>
      <c r="BD324" s="44"/>
      <c r="BJ324" s="43"/>
      <c r="BK324" s="45"/>
      <c r="BL324" s="45"/>
      <c r="BM32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2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2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2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2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24" s="19" t="str">
        <f>IFERROR(Table1[[#This Row],[* Prior Practice Efficiency]]*Table1[[#This Row],[* Prior Load Before Treatment (kg/year)]],"")</f>
        <v/>
      </c>
      <c r="BT324" s="19"/>
    </row>
    <row r="325" spans="14:72">
      <c r="N325" s="48"/>
      <c r="U325" s="43" t="str">
        <f>IFERROR(VLOOKUP(Table1[[#This Row],[Applicable FRP]],Dropdowns!$C$2:$E$15,3,FALSE),"")</f>
        <v/>
      </c>
      <c r="V325" s="43" t="str">
        <f>IFERROR(VLOOKUP(Table1[[#This Row],[LC TMDL Drainage Area]],Dropdowns!$P$3:$Q$23,2,FALSE),"")</f>
        <v/>
      </c>
      <c r="AN325" s="50"/>
      <c r="AP325" s="19"/>
      <c r="AQ325" s="19"/>
      <c r="AR32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2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2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2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2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25" s="19" t="str">
        <f>IFERROR(Table1[[#This Row],[* Practice Efficiency]]*Table1[[#This Row],[* Load Before Treatment (kg/yr)]],"")</f>
        <v/>
      </c>
      <c r="AX325" s="100">
        <v>0</v>
      </c>
      <c r="AY325" s="44" t="s">
        <v>121</v>
      </c>
      <c r="BA325" s="101">
        <v>1</v>
      </c>
      <c r="BB32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25" s="44"/>
      <c r="BD325" s="44"/>
      <c r="BJ325" s="43"/>
      <c r="BK325" s="45"/>
      <c r="BL325" s="45"/>
      <c r="BM32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2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2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2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2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25" s="19" t="str">
        <f>IFERROR(Table1[[#This Row],[* Prior Practice Efficiency]]*Table1[[#This Row],[* Prior Load Before Treatment (kg/year)]],"")</f>
        <v/>
      </c>
      <c r="BT325" s="19"/>
    </row>
    <row r="326" spans="14:72">
      <c r="N326" s="48"/>
      <c r="U326" s="43" t="str">
        <f>IFERROR(VLOOKUP(Table1[[#This Row],[Applicable FRP]],Dropdowns!$C$2:$E$15,3,FALSE),"")</f>
        <v/>
      </c>
      <c r="V326" s="43" t="str">
        <f>IFERROR(VLOOKUP(Table1[[#This Row],[LC TMDL Drainage Area]],Dropdowns!$P$3:$Q$23,2,FALSE),"")</f>
        <v/>
      </c>
      <c r="AN326" s="50"/>
      <c r="AP326" s="19"/>
      <c r="AQ326" s="19"/>
      <c r="AR32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2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2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2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2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26" s="19" t="str">
        <f>IFERROR(Table1[[#This Row],[* Practice Efficiency]]*Table1[[#This Row],[* Load Before Treatment (kg/yr)]],"")</f>
        <v/>
      </c>
      <c r="AX326" s="100">
        <v>0</v>
      </c>
      <c r="AY326" s="44" t="s">
        <v>121</v>
      </c>
      <c r="BA326" s="101">
        <v>1</v>
      </c>
      <c r="BB32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26" s="44"/>
      <c r="BD326" s="44"/>
      <c r="BJ326" s="43"/>
      <c r="BK326" s="45"/>
      <c r="BL326" s="45"/>
      <c r="BM32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2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2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2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2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26" s="19" t="str">
        <f>IFERROR(Table1[[#This Row],[* Prior Practice Efficiency]]*Table1[[#This Row],[* Prior Load Before Treatment (kg/year)]],"")</f>
        <v/>
      </c>
      <c r="BT326" s="19"/>
    </row>
    <row r="327" spans="14:72">
      <c r="N327" s="48"/>
      <c r="U327" s="43" t="str">
        <f>IFERROR(VLOOKUP(Table1[[#This Row],[Applicable FRP]],Dropdowns!$C$2:$E$15,3,FALSE),"")</f>
        <v/>
      </c>
      <c r="V327" s="43" t="str">
        <f>IFERROR(VLOOKUP(Table1[[#This Row],[LC TMDL Drainage Area]],Dropdowns!$P$3:$Q$23,2,FALSE),"")</f>
        <v/>
      </c>
      <c r="AN327" s="50"/>
      <c r="AP327" s="19"/>
      <c r="AQ327" s="19"/>
      <c r="AR32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2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2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2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2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27" s="19" t="str">
        <f>IFERROR(Table1[[#This Row],[* Practice Efficiency]]*Table1[[#This Row],[* Load Before Treatment (kg/yr)]],"")</f>
        <v/>
      </c>
      <c r="AX327" s="100">
        <v>0</v>
      </c>
      <c r="AY327" s="44" t="s">
        <v>121</v>
      </c>
      <c r="BA327" s="101">
        <v>1</v>
      </c>
      <c r="BB32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27" s="44"/>
      <c r="BD327" s="44"/>
      <c r="BJ327" s="43"/>
      <c r="BK327" s="45"/>
      <c r="BL327" s="45"/>
      <c r="BM32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2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2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2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2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27" s="19" t="str">
        <f>IFERROR(Table1[[#This Row],[* Prior Practice Efficiency]]*Table1[[#This Row],[* Prior Load Before Treatment (kg/year)]],"")</f>
        <v/>
      </c>
      <c r="BT327" s="19"/>
    </row>
    <row r="328" spans="14:72">
      <c r="N328" s="48"/>
      <c r="U328" s="43" t="str">
        <f>IFERROR(VLOOKUP(Table1[[#This Row],[Applicable FRP]],Dropdowns!$C$2:$E$15,3,FALSE),"")</f>
        <v/>
      </c>
      <c r="V328" s="43" t="str">
        <f>IFERROR(VLOOKUP(Table1[[#This Row],[LC TMDL Drainage Area]],Dropdowns!$P$3:$Q$23,2,FALSE),"")</f>
        <v/>
      </c>
      <c r="AN328" s="50"/>
      <c r="AP328" s="19"/>
      <c r="AQ328" s="19"/>
      <c r="AR32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2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2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2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2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28" s="19" t="str">
        <f>IFERROR(Table1[[#This Row],[* Practice Efficiency]]*Table1[[#This Row],[* Load Before Treatment (kg/yr)]],"")</f>
        <v/>
      </c>
      <c r="AX328" s="100">
        <v>0</v>
      </c>
      <c r="AY328" s="44" t="s">
        <v>121</v>
      </c>
      <c r="BA328" s="101">
        <v>1</v>
      </c>
      <c r="BB32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28" s="44"/>
      <c r="BD328" s="44"/>
      <c r="BJ328" s="43"/>
      <c r="BK328" s="45"/>
      <c r="BL328" s="45"/>
      <c r="BM32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2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2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2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2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28" s="19" t="str">
        <f>IFERROR(Table1[[#This Row],[* Prior Practice Efficiency]]*Table1[[#This Row],[* Prior Load Before Treatment (kg/year)]],"")</f>
        <v/>
      </c>
      <c r="BT328" s="19"/>
    </row>
    <row r="329" spans="14:72">
      <c r="N329" s="48"/>
      <c r="U329" s="43" t="str">
        <f>IFERROR(VLOOKUP(Table1[[#This Row],[Applicable FRP]],Dropdowns!$C$2:$E$15,3,FALSE),"")</f>
        <v/>
      </c>
      <c r="V329" s="43" t="str">
        <f>IFERROR(VLOOKUP(Table1[[#This Row],[LC TMDL Drainage Area]],Dropdowns!$P$3:$Q$23,2,FALSE),"")</f>
        <v/>
      </c>
      <c r="AN329" s="50"/>
      <c r="AP329" s="19"/>
      <c r="AQ329" s="19"/>
      <c r="AR32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2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2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2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2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29" s="19" t="str">
        <f>IFERROR(Table1[[#This Row],[* Practice Efficiency]]*Table1[[#This Row],[* Load Before Treatment (kg/yr)]],"")</f>
        <v/>
      </c>
      <c r="AX329" s="100">
        <v>0</v>
      </c>
      <c r="AY329" s="44" t="s">
        <v>121</v>
      </c>
      <c r="BA329" s="101">
        <v>1</v>
      </c>
      <c r="BB32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29" s="44"/>
      <c r="BD329" s="44"/>
      <c r="BJ329" s="43"/>
      <c r="BK329" s="45"/>
      <c r="BL329" s="45"/>
      <c r="BM32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2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2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2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2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29" s="19" t="str">
        <f>IFERROR(Table1[[#This Row],[* Prior Practice Efficiency]]*Table1[[#This Row],[* Prior Load Before Treatment (kg/year)]],"")</f>
        <v/>
      </c>
      <c r="BT329" s="19"/>
    </row>
    <row r="330" spans="14:72">
      <c r="N330" s="48"/>
      <c r="U330" s="43" t="str">
        <f>IFERROR(VLOOKUP(Table1[[#This Row],[Applicable FRP]],Dropdowns!$C$2:$E$15,3,FALSE),"")</f>
        <v/>
      </c>
      <c r="V330" s="43" t="str">
        <f>IFERROR(VLOOKUP(Table1[[#This Row],[LC TMDL Drainage Area]],Dropdowns!$P$3:$Q$23,2,FALSE),"")</f>
        <v/>
      </c>
      <c r="AN330" s="50"/>
      <c r="AP330" s="19"/>
      <c r="AQ330" s="19"/>
      <c r="AR33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3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3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3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3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30" s="19" t="str">
        <f>IFERROR(Table1[[#This Row],[* Practice Efficiency]]*Table1[[#This Row],[* Load Before Treatment (kg/yr)]],"")</f>
        <v/>
      </c>
      <c r="AX330" s="100">
        <v>0</v>
      </c>
      <c r="AY330" s="44" t="s">
        <v>121</v>
      </c>
      <c r="BA330" s="101">
        <v>1</v>
      </c>
      <c r="BB33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30" s="44"/>
      <c r="BD330" s="44"/>
      <c r="BJ330" s="43"/>
      <c r="BK330" s="45"/>
      <c r="BL330" s="45"/>
      <c r="BM33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3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3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3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3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30" s="19" t="str">
        <f>IFERROR(Table1[[#This Row],[* Prior Practice Efficiency]]*Table1[[#This Row],[* Prior Load Before Treatment (kg/year)]],"")</f>
        <v/>
      </c>
      <c r="BT330" s="19"/>
    </row>
    <row r="331" spans="14:72">
      <c r="N331" s="48"/>
      <c r="U331" s="43" t="str">
        <f>IFERROR(VLOOKUP(Table1[[#This Row],[Applicable FRP]],Dropdowns!$C$2:$E$15,3,FALSE),"")</f>
        <v/>
      </c>
      <c r="V331" s="43" t="str">
        <f>IFERROR(VLOOKUP(Table1[[#This Row],[LC TMDL Drainage Area]],Dropdowns!$P$3:$Q$23,2,FALSE),"")</f>
        <v/>
      </c>
      <c r="AN331" s="50"/>
      <c r="AP331" s="19"/>
      <c r="AQ331" s="19"/>
      <c r="AR33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3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3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3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3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31" s="19" t="str">
        <f>IFERROR(Table1[[#This Row],[* Practice Efficiency]]*Table1[[#This Row],[* Load Before Treatment (kg/yr)]],"")</f>
        <v/>
      </c>
      <c r="AX331" s="100">
        <v>0</v>
      </c>
      <c r="AY331" s="44" t="s">
        <v>121</v>
      </c>
      <c r="BA331" s="101">
        <v>1</v>
      </c>
      <c r="BB33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31" s="44"/>
      <c r="BD331" s="44"/>
      <c r="BJ331" s="43"/>
      <c r="BK331" s="45"/>
      <c r="BL331" s="45"/>
      <c r="BM33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3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3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3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3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31" s="19" t="str">
        <f>IFERROR(Table1[[#This Row],[* Prior Practice Efficiency]]*Table1[[#This Row],[* Prior Load Before Treatment (kg/year)]],"")</f>
        <v/>
      </c>
      <c r="BT331" s="19"/>
    </row>
    <row r="332" spans="14:72">
      <c r="N332" s="48"/>
      <c r="U332" s="43" t="str">
        <f>IFERROR(VLOOKUP(Table1[[#This Row],[Applicable FRP]],Dropdowns!$C$2:$E$15,3,FALSE),"")</f>
        <v/>
      </c>
      <c r="V332" s="43" t="str">
        <f>IFERROR(VLOOKUP(Table1[[#This Row],[LC TMDL Drainage Area]],Dropdowns!$P$3:$Q$23,2,FALSE),"")</f>
        <v/>
      </c>
      <c r="AN332" s="50"/>
      <c r="AP332" s="19"/>
      <c r="AQ332" s="19"/>
      <c r="AR33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3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3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3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3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32" s="19" t="str">
        <f>IFERROR(Table1[[#This Row],[* Practice Efficiency]]*Table1[[#This Row],[* Load Before Treatment (kg/yr)]],"")</f>
        <v/>
      </c>
      <c r="AX332" s="100">
        <v>0</v>
      </c>
      <c r="AY332" s="44" t="s">
        <v>121</v>
      </c>
      <c r="BA332" s="101">
        <v>1</v>
      </c>
      <c r="BB33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32" s="44"/>
      <c r="BD332" s="44"/>
      <c r="BJ332" s="43"/>
      <c r="BK332" s="45"/>
      <c r="BL332" s="45"/>
      <c r="BM33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3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3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3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3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32" s="19" t="str">
        <f>IFERROR(Table1[[#This Row],[* Prior Practice Efficiency]]*Table1[[#This Row],[* Prior Load Before Treatment (kg/year)]],"")</f>
        <v/>
      </c>
      <c r="BT332" s="19"/>
    </row>
    <row r="333" spans="14:72">
      <c r="N333" s="48"/>
      <c r="U333" s="43" t="str">
        <f>IFERROR(VLOOKUP(Table1[[#This Row],[Applicable FRP]],Dropdowns!$C$2:$E$15,3,FALSE),"")</f>
        <v/>
      </c>
      <c r="V333" s="43" t="str">
        <f>IFERROR(VLOOKUP(Table1[[#This Row],[LC TMDL Drainage Area]],Dropdowns!$P$3:$Q$23,2,FALSE),"")</f>
        <v/>
      </c>
      <c r="AN333" s="50"/>
      <c r="AP333" s="19"/>
      <c r="AQ333" s="19"/>
      <c r="AR33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3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3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3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3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33" s="19" t="str">
        <f>IFERROR(Table1[[#This Row],[* Practice Efficiency]]*Table1[[#This Row],[* Load Before Treatment (kg/yr)]],"")</f>
        <v/>
      </c>
      <c r="AX333" s="100">
        <v>0</v>
      </c>
      <c r="AY333" s="44" t="s">
        <v>121</v>
      </c>
      <c r="BA333" s="101">
        <v>1</v>
      </c>
      <c r="BB33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33" s="44"/>
      <c r="BD333" s="44"/>
      <c r="BJ333" s="43"/>
      <c r="BK333" s="45"/>
      <c r="BL333" s="45"/>
      <c r="BM33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3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3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3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3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33" s="19" t="str">
        <f>IFERROR(Table1[[#This Row],[* Prior Practice Efficiency]]*Table1[[#This Row],[* Prior Load Before Treatment (kg/year)]],"")</f>
        <v/>
      </c>
      <c r="BT333" s="19"/>
    </row>
    <row r="334" spans="14:72">
      <c r="N334" s="48"/>
      <c r="U334" s="43" t="str">
        <f>IFERROR(VLOOKUP(Table1[[#This Row],[Applicable FRP]],Dropdowns!$C$2:$E$15,3,FALSE),"")</f>
        <v/>
      </c>
      <c r="V334" s="43" t="str">
        <f>IFERROR(VLOOKUP(Table1[[#This Row],[LC TMDL Drainage Area]],Dropdowns!$P$3:$Q$23,2,FALSE),"")</f>
        <v/>
      </c>
      <c r="AN334" s="50"/>
      <c r="AP334" s="19"/>
      <c r="AQ334" s="19"/>
      <c r="AR33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3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3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3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3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34" s="19" t="str">
        <f>IFERROR(Table1[[#This Row],[* Practice Efficiency]]*Table1[[#This Row],[* Load Before Treatment (kg/yr)]],"")</f>
        <v/>
      </c>
      <c r="AX334" s="100">
        <v>0</v>
      </c>
      <c r="AY334" s="44" t="s">
        <v>121</v>
      </c>
      <c r="BA334" s="101">
        <v>1</v>
      </c>
      <c r="BB33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34" s="44"/>
      <c r="BD334" s="44"/>
      <c r="BJ334" s="43"/>
      <c r="BK334" s="45"/>
      <c r="BL334" s="45"/>
      <c r="BM33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3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3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3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3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34" s="19" t="str">
        <f>IFERROR(Table1[[#This Row],[* Prior Practice Efficiency]]*Table1[[#This Row],[* Prior Load Before Treatment (kg/year)]],"")</f>
        <v/>
      </c>
      <c r="BT334" s="19"/>
    </row>
    <row r="335" spans="14:72">
      <c r="N335" s="48"/>
      <c r="U335" s="43" t="str">
        <f>IFERROR(VLOOKUP(Table1[[#This Row],[Applicable FRP]],Dropdowns!$C$2:$E$15,3,FALSE),"")</f>
        <v/>
      </c>
      <c r="V335" s="43" t="str">
        <f>IFERROR(VLOOKUP(Table1[[#This Row],[LC TMDL Drainage Area]],Dropdowns!$P$3:$Q$23,2,FALSE),"")</f>
        <v/>
      </c>
      <c r="AN335" s="50"/>
      <c r="AP335" s="19"/>
      <c r="AQ335" s="19"/>
      <c r="AR33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3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3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3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3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35" s="19" t="str">
        <f>IFERROR(Table1[[#This Row],[* Practice Efficiency]]*Table1[[#This Row],[* Load Before Treatment (kg/yr)]],"")</f>
        <v/>
      </c>
      <c r="AX335" s="100">
        <v>0</v>
      </c>
      <c r="AY335" s="44" t="s">
        <v>121</v>
      </c>
      <c r="BA335" s="101">
        <v>1</v>
      </c>
      <c r="BB33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35" s="44"/>
      <c r="BD335" s="44"/>
      <c r="BJ335" s="43"/>
      <c r="BK335" s="45"/>
      <c r="BL335" s="45"/>
      <c r="BM33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3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3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3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3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35" s="19" t="str">
        <f>IFERROR(Table1[[#This Row],[* Prior Practice Efficiency]]*Table1[[#This Row],[* Prior Load Before Treatment (kg/year)]],"")</f>
        <v/>
      </c>
      <c r="BT335" s="19"/>
    </row>
    <row r="336" spans="14:72">
      <c r="N336" s="48"/>
      <c r="U336" s="43" t="str">
        <f>IFERROR(VLOOKUP(Table1[[#This Row],[Applicable FRP]],Dropdowns!$C$2:$E$15,3,FALSE),"")</f>
        <v/>
      </c>
      <c r="V336" s="43" t="str">
        <f>IFERROR(VLOOKUP(Table1[[#This Row],[LC TMDL Drainage Area]],Dropdowns!$P$3:$Q$23,2,FALSE),"")</f>
        <v/>
      </c>
      <c r="AN336" s="50"/>
      <c r="AP336" s="19"/>
      <c r="AQ336" s="19"/>
      <c r="AR33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3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3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3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3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36" s="19" t="str">
        <f>IFERROR(Table1[[#This Row],[* Practice Efficiency]]*Table1[[#This Row],[* Load Before Treatment (kg/yr)]],"")</f>
        <v/>
      </c>
      <c r="AX336" s="100">
        <v>0</v>
      </c>
      <c r="AY336" s="44" t="s">
        <v>121</v>
      </c>
      <c r="BA336" s="101">
        <v>1</v>
      </c>
      <c r="BB33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36" s="44"/>
      <c r="BD336" s="44"/>
      <c r="BJ336" s="43"/>
      <c r="BK336" s="45"/>
      <c r="BL336" s="45"/>
      <c r="BM33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3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3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3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3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36" s="19" t="str">
        <f>IFERROR(Table1[[#This Row],[* Prior Practice Efficiency]]*Table1[[#This Row],[* Prior Load Before Treatment (kg/year)]],"")</f>
        <v/>
      </c>
      <c r="BT336" s="19"/>
    </row>
    <row r="337" spans="14:72">
      <c r="N337" s="48"/>
      <c r="U337" s="43" t="str">
        <f>IFERROR(VLOOKUP(Table1[[#This Row],[Applicable FRP]],Dropdowns!$C$2:$E$15,3,FALSE),"")</f>
        <v/>
      </c>
      <c r="V337" s="43" t="str">
        <f>IFERROR(VLOOKUP(Table1[[#This Row],[LC TMDL Drainage Area]],Dropdowns!$P$3:$Q$23,2,FALSE),"")</f>
        <v/>
      </c>
      <c r="AN337" s="50"/>
      <c r="AP337" s="19"/>
      <c r="AQ337" s="19"/>
      <c r="AR33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3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3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3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3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37" s="19" t="str">
        <f>IFERROR(Table1[[#This Row],[* Practice Efficiency]]*Table1[[#This Row],[* Load Before Treatment (kg/yr)]],"")</f>
        <v/>
      </c>
      <c r="AX337" s="100">
        <v>0</v>
      </c>
      <c r="AY337" s="44" t="s">
        <v>121</v>
      </c>
      <c r="BA337" s="101">
        <v>1</v>
      </c>
      <c r="BB33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37" s="44"/>
      <c r="BD337" s="44"/>
      <c r="BJ337" s="43"/>
      <c r="BK337" s="45"/>
      <c r="BL337" s="45"/>
      <c r="BM33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3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3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3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3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37" s="19" t="str">
        <f>IFERROR(Table1[[#This Row],[* Prior Practice Efficiency]]*Table1[[#This Row],[* Prior Load Before Treatment (kg/year)]],"")</f>
        <v/>
      </c>
      <c r="BT337" s="19"/>
    </row>
    <row r="338" spans="14:72">
      <c r="N338" s="48"/>
      <c r="U338" s="43" t="str">
        <f>IFERROR(VLOOKUP(Table1[[#This Row],[Applicable FRP]],Dropdowns!$C$2:$E$15,3,FALSE),"")</f>
        <v/>
      </c>
      <c r="V338" s="43" t="str">
        <f>IFERROR(VLOOKUP(Table1[[#This Row],[LC TMDL Drainage Area]],Dropdowns!$P$3:$Q$23,2,FALSE),"")</f>
        <v/>
      </c>
      <c r="AN338" s="50"/>
      <c r="AP338" s="19"/>
      <c r="AQ338" s="19"/>
      <c r="AR33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3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3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3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3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38" s="19" t="str">
        <f>IFERROR(Table1[[#This Row],[* Practice Efficiency]]*Table1[[#This Row],[* Load Before Treatment (kg/yr)]],"")</f>
        <v/>
      </c>
      <c r="AX338" s="100">
        <v>0</v>
      </c>
      <c r="AY338" s="44" t="s">
        <v>121</v>
      </c>
      <c r="BA338" s="101">
        <v>1</v>
      </c>
      <c r="BB33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38" s="44"/>
      <c r="BD338" s="44"/>
      <c r="BJ338" s="43"/>
      <c r="BK338" s="45"/>
      <c r="BL338" s="45"/>
      <c r="BM33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3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3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3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3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38" s="19" t="str">
        <f>IFERROR(Table1[[#This Row],[* Prior Practice Efficiency]]*Table1[[#This Row],[* Prior Load Before Treatment (kg/year)]],"")</f>
        <v/>
      </c>
      <c r="BT338" s="19"/>
    </row>
    <row r="339" spans="14:72">
      <c r="N339" s="48"/>
      <c r="U339" s="43" t="str">
        <f>IFERROR(VLOOKUP(Table1[[#This Row],[Applicable FRP]],Dropdowns!$C$2:$E$15,3,FALSE),"")</f>
        <v/>
      </c>
      <c r="V339" s="43" t="str">
        <f>IFERROR(VLOOKUP(Table1[[#This Row],[LC TMDL Drainage Area]],Dropdowns!$P$3:$Q$23,2,FALSE),"")</f>
        <v/>
      </c>
      <c r="AN339" s="50"/>
      <c r="AP339" s="19"/>
      <c r="AQ339" s="19"/>
      <c r="AR33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3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3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3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3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39" s="19" t="str">
        <f>IFERROR(Table1[[#This Row],[* Practice Efficiency]]*Table1[[#This Row],[* Load Before Treatment (kg/yr)]],"")</f>
        <v/>
      </c>
      <c r="AX339" s="100">
        <v>0</v>
      </c>
      <c r="AY339" s="44" t="s">
        <v>121</v>
      </c>
      <c r="BA339" s="101">
        <v>1</v>
      </c>
      <c r="BB33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39" s="44"/>
      <c r="BD339" s="44"/>
      <c r="BJ339" s="43"/>
      <c r="BK339" s="45"/>
      <c r="BL339" s="45"/>
      <c r="BM33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3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3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3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3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39" s="19" t="str">
        <f>IFERROR(Table1[[#This Row],[* Prior Practice Efficiency]]*Table1[[#This Row],[* Prior Load Before Treatment (kg/year)]],"")</f>
        <v/>
      </c>
      <c r="BT339" s="19"/>
    </row>
    <row r="340" spans="14:72">
      <c r="N340" s="48"/>
      <c r="U340" s="43" t="str">
        <f>IFERROR(VLOOKUP(Table1[[#This Row],[Applicable FRP]],Dropdowns!$C$2:$E$15,3,FALSE),"")</f>
        <v/>
      </c>
      <c r="V340" s="43" t="str">
        <f>IFERROR(VLOOKUP(Table1[[#This Row],[LC TMDL Drainage Area]],Dropdowns!$P$3:$Q$23,2,FALSE),"")</f>
        <v/>
      </c>
      <c r="AN340" s="50"/>
      <c r="AP340" s="19"/>
      <c r="AQ340" s="19"/>
      <c r="AR34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4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4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4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4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40" s="19" t="str">
        <f>IFERROR(Table1[[#This Row],[* Practice Efficiency]]*Table1[[#This Row],[* Load Before Treatment (kg/yr)]],"")</f>
        <v/>
      </c>
      <c r="AX340" s="100">
        <v>0</v>
      </c>
      <c r="AY340" s="44" t="s">
        <v>121</v>
      </c>
      <c r="BA340" s="101">
        <v>1</v>
      </c>
      <c r="BB34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40" s="44"/>
      <c r="BD340" s="44"/>
      <c r="BJ340" s="43"/>
      <c r="BK340" s="45"/>
      <c r="BL340" s="45"/>
      <c r="BM34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4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4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4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4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40" s="19" t="str">
        <f>IFERROR(Table1[[#This Row],[* Prior Practice Efficiency]]*Table1[[#This Row],[* Prior Load Before Treatment (kg/year)]],"")</f>
        <v/>
      </c>
      <c r="BT340" s="19"/>
    </row>
    <row r="341" spans="14:72">
      <c r="N341" s="48"/>
      <c r="U341" s="43" t="str">
        <f>IFERROR(VLOOKUP(Table1[[#This Row],[Applicable FRP]],Dropdowns!$C$2:$E$15,3,FALSE),"")</f>
        <v/>
      </c>
      <c r="V341" s="43" t="str">
        <f>IFERROR(VLOOKUP(Table1[[#This Row],[LC TMDL Drainage Area]],Dropdowns!$P$3:$Q$23,2,FALSE),"")</f>
        <v/>
      </c>
      <c r="AN341" s="50"/>
      <c r="AP341" s="19"/>
      <c r="AQ341" s="19"/>
      <c r="AR34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4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4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4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4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41" s="19" t="str">
        <f>IFERROR(Table1[[#This Row],[* Practice Efficiency]]*Table1[[#This Row],[* Load Before Treatment (kg/yr)]],"")</f>
        <v/>
      </c>
      <c r="AX341" s="100">
        <v>0</v>
      </c>
      <c r="AY341" s="44" t="s">
        <v>121</v>
      </c>
      <c r="BA341" s="101">
        <v>1</v>
      </c>
      <c r="BB34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41" s="44"/>
      <c r="BD341" s="44"/>
      <c r="BJ341" s="43"/>
      <c r="BK341" s="45"/>
      <c r="BL341" s="45"/>
      <c r="BM34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4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4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4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4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41" s="19" t="str">
        <f>IFERROR(Table1[[#This Row],[* Prior Practice Efficiency]]*Table1[[#This Row],[* Prior Load Before Treatment (kg/year)]],"")</f>
        <v/>
      </c>
      <c r="BT341" s="19"/>
    </row>
    <row r="342" spans="14:72">
      <c r="N342" s="48"/>
      <c r="U342" s="43" t="str">
        <f>IFERROR(VLOOKUP(Table1[[#This Row],[Applicable FRP]],Dropdowns!$C$2:$E$15,3,FALSE),"")</f>
        <v/>
      </c>
      <c r="V342" s="43" t="str">
        <f>IFERROR(VLOOKUP(Table1[[#This Row],[LC TMDL Drainage Area]],Dropdowns!$P$3:$Q$23,2,FALSE),"")</f>
        <v/>
      </c>
      <c r="AN342" s="50"/>
      <c r="AP342" s="19"/>
      <c r="AQ342" s="19"/>
      <c r="AR34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4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4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4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4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42" s="19" t="str">
        <f>IFERROR(Table1[[#This Row],[* Practice Efficiency]]*Table1[[#This Row],[* Load Before Treatment (kg/yr)]],"")</f>
        <v/>
      </c>
      <c r="AX342" s="100">
        <v>0</v>
      </c>
      <c r="AY342" s="44" t="s">
        <v>121</v>
      </c>
      <c r="BA342" s="101">
        <v>1</v>
      </c>
      <c r="BB34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42" s="44"/>
      <c r="BD342" s="44"/>
      <c r="BJ342" s="43"/>
      <c r="BK342" s="45"/>
      <c r="BL342" s="45"/>
      <c r="BM34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4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4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4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4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42" s="19" t="str">
        <f>IFERROR(Table1[[#This Row],[* Prior Practice Efficiency]]*Table1[[#This Row],[* Prior Load Before Treatment (kg/year)]],"")</f>
        <v/>
      </c>
      <c r="BT342" s="19"/>
    </row>
    <row r="343" spans="14:72">
      <c r="N343" s="48"/>
      <c r="U343" s="43" t="str">
        <f>IFERROR(VLOOKUP(Table1[[#This Row],[Applicable FRP]],Dropdowns!$C$2:$E$15,3,FALSE),"")</f>
        <v/>
      </c>
      <c r="V343" s="43" t="str">
        <f>IFERROR(VLOOKUP(Table1[[#This Row],[LC TMDL Drainage Area]],Dropdowns!$P$3:$Q$23,2,FALSE),"")</f>
        <v/>
      </c>
      <c r="AN343" s="50"/>
      <c r="AP343" s="19"/>
      <c r="AQ343" s="19"/>
      <c r="AR34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4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4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4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4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43" s="19" t="str">
        <f>IFERROR(Table1[[#This Row],[* Practice Efficiency]]*Table1[[#This Row],[* Load Before Treatment (kg/yr)]],"")</f>
        <v/>
      </c>
      <c r="AX343" s="100">
        <v>0</v>
      </c>
      <c r="AY343" s="44" t="s">
        <v>121</v>
      </c>
      <c r="BA343" s="101">
        <v>1</v>
      </c>
      <c r="BB34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43" s="44"/>
      <c r="BD343" s="44"/>
      <c r="BJ343" s="43"/>
      <c r="BK343" s="45"/>
      <c r="BL343" s="45"/>
      <c r="BM34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4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4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4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4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43" s="19" t="str">
        <f>IFERROR(Table1[[#This Row],[* Prior Practice Efficiency]]*Table1[[#This Row],[* Prior Load Before Treatment (kg/year)]],"")</f>
        <v/>
      </c>
      <c r="BT343" s="19"/>
    </row>
    <row r="344" spans="14:72">
      <c r="N344" s="48"/>
      <c r="U344" s="43" t="str">
        <f>IFERROR(VLOOKUP(Table1[[#This Row],[Applicable FRP]],Dropdowns!$C$2:$E$15,3,FALSE),"")</f>
        <v/>
      </c>
      <c r="V344" s="43" t="str">
        <f>IFERROR(VLOOKUP(Table1[[#This Row],[LC TMDL Drainage Area]],Dropdowns!$P$3:$Q$23,2,FALSE),"")</f>
        <v/>
      </c>
      <c r="AN344" s="50"/>
      <c r="AP344" s="19"/>
      <c r="AQ344" s="19"/>
      <c r="AR34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4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4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4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4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44" s="19" t="str">
        <f>IFERROR(Table1[[#This Row],[* Practice Efficiency]]*Table1[[#This Row],[* Load Before Treatment (kg/yr)]],"")</f>
        <v/>
      </c>
      <c r="AX344" s="100">
        <v>0</v>
      </c>
      <c r="AY344" s="44" t="s">
        <v>121</v>
      </c>
      <c r="BA344" s="101">
        <v>1</v>
      </c>
      <c r="BB34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44" s="44"/>
      <c r="BD344" s="44"/>
      <c r="BJ344" s="43"/>
      <c r="BK344" s="45"/>
      <c r="BL344" s="45"/>
      <c r="BM34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4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4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4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4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44" s="19" t="str">
        <f>IFERROR(Table1[[#This Row],[* Prior Practice Efficiency]]*Table1[[#This Row],[* Prior Load Before Treatment (kg/year)]],"")</f>
        <v/>
      </c>
      <c r="BT344" s="19"/>
    </row>
    <row r="345" spans="14:72">
      <c r="N345" s="48"/>
      <c r="U345" s="43" t="str">
        <f>IFERROR(VLOOKUP(Table1[[#This Row],[Applicable FRP]],Dropdowns!$C$2:$E$15,3,FALSE),"")</f>
        <v/>
      </c>
      <c r="V345" s="43" t="str">
        <f>IFERROR(VLOOKUP(Table1[[#This Row],[LC TMDL Drainage Area]],Dropdowns!$P$3:$Q$23,2,FALSE),"")</f>
        <v/>
      </c>
      <c r="AN345" s="50"/>
      <c r="AP345" s="19"/>
      <c r="AQ345" s="19"/>
      <c r="AR34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4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4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4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4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45" s="19" t="str">
        <f>IFERROR(Table1[[#This Row],[* Practice Efficiency]]*Table1[[#This Row],[* Load Before Treatment (kg/yr)]],"")</f>
        <v/>
      </c>
      <c r="AX345" s="100">
        <v>0</v>
      </c>
      <c r="AY345" s="44" t="s">
        <v>121</v>
      </c>
      <c r="BA345" s="101">
        <v>1</v>
      </c>
      <c r="BB34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45" s="44"/>
      <c r="BD345" s="44"/>
      <c r="BJ345" s="43"/>
      <c r="BK345" s="45"/>
      <c r="BL345" s="45"/>
      <c r="BM34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4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4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4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4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45" s="19" t="str">
        <f>IFERROR(Table1[[#This Row],[* Prior Practice Efficiency]]*Table1[[#This Row],[* Prior Load Before Treatment (kg/year)]],"")</f>
        <v/>
      </c>
      <c r="BT345" s="19"/>
    </row>
    <row r="346" spans="14:72">
      <c r="N346" s="48"/>
      <c r="U346" s="43" t="str">
        <f>IFERROR(VLOOKUP(Table1[[#This Row],[Applicable FRP]],Dropdowns!$C$2:$E$15,3,FALSE),"")</f>
        <v/>
      </c>
      <c r="V346" s="43" t="str">
        <f>IFERROR(VLOOKUP(Table1[[#This Row],[LC TMDL Drainage Area]],Dropdowns!$P$3:$Q$23,2,FALSE),"")</f>
        <v/>
      </c>
      <c r="AN346" s="50"/>
      <c r="AP346" s="19"/>
      <c r="AQ346" s="19"/>
      <c r="AR34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4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4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4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4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46" s="19" t="str">
        <f>IFERROR(Table1[[#This Row],[* Practice Efficiency]]*Table1[[#This Row],[* Load Before Treatment (kg/yr)]],"")</f>
        <v/>
      </c>
      <c r="AX346" s="100">
        <v>0</v>
      </c>
      <c r="AY346" s="44" t="s">
        <v>121</v>
      </c>
      <c r="BA346" s="101">
        <v>1</v>
      </c>
      <c r="BB34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46" s="44"/>
      <c r="BD346" s="44"/>
      <c r="BJ346" s="43"/>
      <c r="BK346" s="45"/>
      <c r="BL346" s="45"/>
      <c r="BM34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4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4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4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4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46" s="19" t="str">
        <f>IFERROR(Table1[[#This Row],[* Prior Practice Efficiency]]*Table1[[#This Row],[* Prior Load Before Treatment (kg/year)]],"")</f>
        <v/>
      </c>
      <c r="BT346" s="19"/>
    </row>
    <row r="347" spans="14:72">
      <c r="N347" s="48"/>
      <c r="U347" s="43" t="str">
        <f>IFERROR(VLOOKUP(Table1[[#This Row],[Applicable FRP]],Dropdowns!$C$2:$E$15,3,FALSE),"")</f>
        <v/>
      </c>
      <c r="V347" s="43" t="str">
        <f>IFERROR(VLOOKUP(Table1[[#This Row],[LC TMDL Drainage Area]],Dropdowns!$P$3:$Q$23,2,FALSE),"")</f>
        <v/>
      </c>
      <c r="AN347" s="50"/>
      <c r="AP347" s="19"/>
      <c r="AQ347" s="19"/>
      <c r="AR34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4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4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4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4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47" s="19" t="str">
        <f>IFERROR(Table1[[#This Row],[* Practice Efficiency]]*Table1[[#This Row],[* Load Before Treatment (kg/yr)]],"")</f>
        <v/>
      </c>
      <c r="AX347" s="100">
        <v>0</v>
      </c>
      <c r="AY347" s="44" t="s">
        <v>121</v>
      </c>
      <c r="BA347" s="101">
        <v>1</v>
      </c>
      <c r="BB34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47" s="44"/>
      <c r="BD347" s="44"/>
      <c r="BJ347" s="43"/>
      <c r="BK347" s="45"/>
      <c r="BL347" s="45"/>
      <c r="BM34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4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4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4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4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47" s="19" t="str">
        <f>IFERROR(Table1[[#This Row],[* Prior Practice Efficiency]]*Table1[[#This Row],[* Prior Load Before Treatment (kg/year)]],"")</f>
        <v/>
      </c>
      <c r="BT347" s="19"/>
    </row>
    <row r="348" spans="14:72">
      <c r="N348" s="48"/>
      <c r="U348" s="43" t="str">
        <f>IFERROR(VLOOKUP(Table1[[#This Row],[Applicable FRP]],Dropdowns!$C$2:$E$15,3,FALSE),"")</f>
        <v/>
      </c>
      <c r="V348" s="43" t="str">
        <f>IFERROR(VLOOKUP(Table1[[#This Row],[LC TMDL Drainage Area]],Dropdowns!$P$3:$Q$23,2,FALSE),"")</f>
        <v/>
      </c>
      <c r="AN348" s="50"/>
      <c r="AP348" s="19"/>
      <c r="AQ348" s="19"/>
      <c r="AR34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4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4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4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4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48" s="19" t="str">
        <f>IFERROR(Table1[[#This Row],[* Practice Efficiency]]*Table1[[#This Row],[* Load Before Treatment (kg/yr)]],"")</f>
        <v/>
      </c>
      <c r="AX348" s="100">
        <v>0</v>
      </c>
      <c r="AY348" s="44" t="s">
        <v>121</v>
      </c>
      <c r="BA348" s="101">
        <v>1</v>
      </c>
      <c r="BB34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48" s="44"/>
      <c r="BD348" s="44"/>
      <c r="BJ348" s="43"/>
      <c r="BK348" s="45"/>
      <c r="BL348" s="45"/>
      <c r="BM34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4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4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4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4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48" s="19" t="str">
        <f>IFERROR(Table1[[#This Row],[* Prior Practice Efficiency]]*Table1[[#This Row],[* Prior Load Before Treatment (kg/year)]],"")</f>
        <v/>
      </c>
      <c r="BT348" s="19"/>
    </row>
    <row r="349" spans="14:72">
      <c r="N349" s="48"/>
      <c r="U349" s="43" t="str">
        <f>IFERROR(VLOOKUP(Table1[[#This Row],[Applicable FRP]],Dropdowns!$C$2:$E$15,3,FALSE),"")</f>
        <v/>
      </c>
      <c r="V349" s="43" t="str">
        <f>IFERROR(VLOOKUP(Table1[[#This Row],[LC TMDL Drainage Area]],Dropdowns!$P$3:$Q$23,2,FALSE),"")</f>
        <v/>
      </c>
      <c r="AN349" s="50"/>
      <c r="AP349" s="19"/>
      <c r="AQ349" s="19"/>
      <c r="AR34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4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4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4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4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49" s="19" t="str">
        <f>IFERROR(Table1[[#This Row],[* Practice Efficiency]]*Table1[[#This Row],[* Load Before Treatment (kg/yr)]],"")</f>
        <v/>
      </c>
      <c r="AX349" s="100">
        <v>0</v>
      </c>
      <c r="AY349" s="44" t="s">
        <v>121</v>
      </c>
      <c r="BA349" s="101">
        <v>1</v>
      </c>
      <c r="BB34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49" s="44"/>
      <c r="BD349" s="44"/>
      <c r="BJ349" s="43"/>
      <c r="BK349" s="45"/>
      <c r="BL349" s="45"/>
      <c r="BM34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4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4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4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4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49" s="19" t="str">
        <f>IFERROR(Table1[[#This Row],[* Prior Practice Efficiency]]*Table1[[#This Row],[* Prior Load Before Treatment (kg/year)]],"")</f>
        <v/>
      </c>
      <c r="BT349" s="19"/>
    </row>
    <row r="350" spans="14:72">
      <c r="N350" s="48"/>
      <c r="U350" s="43" t="str">
        <f>IFERROR(VLOOKUP(Table1[[#This Row],[Applicable FRP]],Dropdowns!$C$2:$E$15,3,FALSE),"")</f>
        <v/>
      </c>
      <c r="V350" s="43" t="str">
        <f>IFERROR(VLOOKUP(Table1[[#This Row],[LC TMDL Drainage Area]],Dropdowns!$P$3:$Q$23,2,FALSE),"")</f>
        <v/>
      </c>
      <c r="AN350" s="50"/>
      <c r="AP350" s="19"/>
      <c r="AQ350" s="19"/>
      <c r="AR35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5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5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5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5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50" s="19" t="str">
        <f>IFERROR(Table1[[#This Row],[* Practice Efficiency]]*Table1[[#This Row],[* Load Before Treatment (kg/yr)]],"")</f>
        <v/>
      </c>
      <c r="AX350" s="100">
        <v>0</v>
      </c>
      <c r="AY350" s="44" t="s">
        <v>121</v>
      </c>
      <c r="BA350" s="101">
        <v>1</v>
      </c>
      <c r="BB35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50" s="44"/>
      <c r="BD350" s="44"/>
      <c r="BJ350" s="43"/>
      <c r="BK350" s="45"/>
      <c r="BL350" s="45"/>
      <c r="BM35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5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5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5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5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50" s="19" t="str">
        <f>IFERROR(Table1[[#This Row],[* Prior Practice Efficiency]]*Table1[[#This Row],[* Prior Load Before Treatment (kg/year)]],"")</f>
        <v/>
      </c>
      <c r="BT350" s="19"/>
    </row>
    <row r="351" spans="14:72">
      <c r="N351" s="48"/>
      <c r="U351" s="43" t="str">
        <f>IFERROR(VLOOKUP(Table1[[#This Row],[Applicable FRP]],Dropdowns!$C$2:$E$15,3,FALSE),"")</f>
        <v/>
      </c>
      <c r="V351" s="43" t="str">
        <f>IFERROR(VLOOKUP(Table1[[#This Row],[LC TMDL Drainage Area]],Dropdowns!$P$3:$Q$23,2,FALSE),"")</f>
        <v/>
      </c>
      <c r="AN351" s="50"/>
      <c r="AP351" s="19"/>
      <c r="AQ351" s="19"/>
      <c r="AR35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5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5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5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5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51" s="19" t="str">
        <f>IFERROR(Table1[[#This Row],[* Practice Efficiency]]*Table1[[#This Row],[* Load Before Treatment (kg/yr)]],"")</f>
        <v/>
      </c>
      <c r="AX351" s="100">
        <v>0</v>
      </c>
      <c r="AY351" s="44" t="s">
        <v>121</v>
      </c>
      <c r="BA351" s="101">
        <v>1</v>
      </c>
      <c r="BB35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51" s="44"/>
      <c r="BD351" s="44"/>
      <c r="BJ351" s="43"/>
      <c r="BK351" s="45"/>
      <c r="BL351" s="45"/>
      <c r="BM35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5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5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5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5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51" s="19" t="str">
        <f>IFERROR(Table1[[#This Row],[* Prior Practice Efficiency]]*Table1[[#This Row],[* Prior Load Before Treatment (kg/year)]],"")</f>
        <v/>
      </c>
      <c r="BT351" s="19"/>
    </row>
    <row r="352" spans="14:72">
      <c r="N352" s="48"/>
      <c r="U352" s="43" t="str">
        <f>IFERROR(VLOOKUP(Table1[[#This Row],[Applicable FRP]],Dropdowns!$C$2:$E$15,3,FALSE),"")</f>
        <v/>
      </c>
      <c r="V352" s="43" t="str">
        <f>IFERROR(VLOOKUP(Table1[[#This Row],[LC TMDL Drainage Area]],Dropdowns!$P$3:$Q$23,2,FALSE),"")</f>
        <v/>
      </c>
      <c r="AN352" s="50"/>
      <c r="AP352" s="19"/>
      <c r="AQ352" s="19"/>
      <c r="AR35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5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5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5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5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52" s="19" t="str">
        <f>IFERROR(Table1[[#This Row],[* Practice Efficiency]]*Table1[[#This Row],[* Load Before Treatment (kg/yr)]],"")</f>
        <v/>
      </c>
      <c r="AX352" s="100">
        <v>0</v>
      </c>
      <c r="AY352" s="44" t="s">
        <v>121</v>
      </c>
      <c r="BA352" s="101">
        <v>1</v>
      </c>
      <c r="BB35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52" s="44"/>
      <c r="BD352" s="44"/>
      <c r="BJ352" s="43"/>
      <c r="BK352" s="45"/>
      <c r="BL352" s="45"/>
      <c r="BM35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5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5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5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5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52" s="19" t="str">
        <f>IFERROR(Table1[[#This Row],[* Prior Practice Efficiency]]*Table1[[#This Row],[* Prior Load Before Treatment (kg/year)]],"")</f>
        <v/>
      </c>
      <c r="BT352" s="19"/>
    </row>
    <row r="353" spans="14:72">
      <c r="N353" s="48"/>
      <c r="U353" s="43" t="str">
        <f>IFERROR(VLOOKUP(Table1[[#This Row],[Applicable FRP]],Dropdowns!$C$2:$E$15,3,FALSE),"")</f>
        <v/>
      </c>
      <c r="V353" s="43" t="str">
        <f>IFERROR(VLOOKUP(Table1[[#This Row],[LC TMDL Drainage Area]],Dropdowns!$P$3:$Q$23,2,FALSE),"")</f>
        <v/>
      </c>
      <c r="AN353" s="50"/>
      <c r="AP353" s="19"/>
      <c r="AQ353" s="19"/>
      <c r="AR35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5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5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5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5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53" s="19" t="str">
        <f>IFERROR(Table1[[#This Row],[* Practice Efficiency]]*Table1[[#This Row],[* Load Before Treatment (kg/yr)]],"")</f>
        <v/>
      </c>
      <c r="AX353" s="100">
        <v>0</v>
      </c>
      <c r="AY353" s="44" t="s">
        <v>121</v>
      </c>
      <c r="BA353" s="101">
        <v>1</v>
      </c>
      <c r="BB35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53" s="44"/>
      <c r="BD353" s="44"/>
      <c r="BJ353" s="43"/>
      <c r="BK353" s="45"/>
      <c r="BL353" s="45"/>
      <c r="BM35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5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5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5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5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53" s="19" t="str">
        <f>IFERROR(Table1[[#This Row],[* Prior Practice Efficiency]]*Table1[[#This Row],[* Prior Load Before Treatment (kg/year)]],"")</f>
        <v/>
      </c>
      <c r="BT353" s="19"/>
    </row>
    <row r="354" spans="14:72">
      <c r="N354" s="48"/>
      <c r="U354" s="43" t="str">
        <f>IFERROR(VLOOKUP(Table1[[#This Row],[Applicable FRP]],Dropdowns!$C$2:$E$15,3,FALSE),"")</f>
        <v/>
      </c>
      <c r="V354" s="43" t="str">
        <f>IFERROR(VLOOKUP(Table1[[#This Row],[LC TMDL Drainage Area]],Dropdowns!$P$3:$Q$23,2,FALSE),"")</f>
        <v/>
      </c>
      <c r="AN354" s="50"/>
      <c r="AP354" s="19"/>
      <c r="AQ354" s="19"/>
      <c r="AR35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5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5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5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5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54" s="19" t="str">
        <f>IFERROR(Table1[[#This Row],[* Practice Efficiency]]*Table1[[#This Row],[* Load Before Treatment (kg/yr)]],"")</f>
        <v/>
      </c>
      <c r="AX354" s="100">
        <v>0</v>
      </c>
      <c r="AY354" s="44" t="s">
        <v>121</v>
      </c>
      <c r="BA354" s="101">
        <v>1</v>
      </c>
      <c r="BB35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54" s="44"/>
      <c r="BD354" s="44"/>
      <c r="BJ354" s="43"/>
      <c r="BK354" s="45"/>
      <c r="BL354" s="45"/>
      <c r="BM35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5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5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5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5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54" s="19" t="str">
        <f>IFERROR(Table1[[#This Row],[* Prior Practice Efficiency]]*Table1[[#This Row],[* Prior Load Before Treatment (kg/year)]],"")</f>
        <v/>
      </c>
      <c r="BT354" s="19"/>
    </row>
    <row r="355" spans="14:72">
      <c r="N355" s="48"/>
      <c r="U355" s="43" t="str">
        <f>IFERROR(VLOOKUP(Table1[[#This Row],[Applicable FRP]],Dropdowns!$C$2:$E$15,3,FALSE),"")</f>
        <v/>
      </c>
      <c r="V355" s="43" t="str">
        <f>IFERROR(VLOOKUP(Table1[[#This Row],[LC TMDL Drainage Area]],Dropdowns!$P$3:$Q$23,2,FALSE),"")</f>
        <v/>
      </c>
      <c r="AN355" s="50"/>
      <c r="AP355" s="19"/>
      <c r="AQ355" s="19"/>
      <c r="AR35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5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5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5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5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55" s="19" t="str">
        <f>IFERROR(Table1[[#This Row],[* Practice Efficiency]]*Table1[[#This Row],[* Load Before Treatment (kg/yr)]],"")</f>
        <v/>
      </c>
      <c r="AX355" s="100">
        <v>0</v>
      </c>
      <c r="AY355" s="44" t="s">
        <v>121</v>
      </c>
      <c r="BA355" s="101">
        <v>1</v>
      </c>
      <c r="BB35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55" s="44"/>
      <c r="BD355" s="44"/>
      <c r="BJ355" s="43"/>
      <c r="BK355" s="45"/>
      <c r="BL355" s="45"/>
      <c r="BM35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5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5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5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5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55" s="19" t="str">
        <f>IFERROR(Table1[[#This Row],[* Prior Practice Efficiency]]*Table1[[#This Row],[* Prior Load Before Treatment (kg/year)]],"")</f>
        <v/>
      </c>
      <c r="BT355" s="19"/>
    </row>
    <row r="356" spans="14:72">
      <c r="N356" s="48"/>
      <c r="U356" s="43" t="str">
        <f>IFERROR(VLOOKUP(Table1[[#This Row],[Applicable FRP]],Dropdowns!$C$2:$E$15,3,FALSE),"")</f>
        <v/>
      </c>
      <c r="V356" s="43" t="str">
        <f>IFERROR(VLOOKUP(Table1[[#This Row],[LC TMDL Drainage Area]],Dropdowns!$P$3:$Q$23,2,FALSE),"")</f>
        <v/>
      </c>
      <c r="AN356" s="50"/>
      <c r="AP356" s="19"/>
      <c r="AQ356" s="19"/>
      <c r="AR35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5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5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5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5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56" s="19" t="str">
        <f>IFERROR(Table1[[#This Row],[* Practice Efficiency]]*Table1[[#This Row],[* Load Before Treatment (kg/yr)]],"")</f>
        <v/>
      </c>
      <c r="AX356" s="100">
        <v>0</v>
      </c>
      <c r="AY356" s="44" t="s">
        <v>121</v>
      </c>
      <c r="BA356" s="101">
        <v>1</v>
      </c>
      <c r="BB35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56" s="44"/>
      <c r="BD356" s="44"/>
      <c r="BJ356" s="43"/>
      <c r="BK356" s="45"/>
      <c r="BL356" s="45"/>
      <c r="BM35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5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5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5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5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56" s="19" t="str">
        <f>IFERROR(Table1[[#This Row],[* Prior Practice Efficiency]]*Table1[[#This Row],[* Prior Load Before Treatment (kg/year)]],"")</f>
        <v/>
      </c>
      <c r="BT356" s="19"/>
    </row>
    <row r="357" spans="14:72">
      <c r="N357" s="48"/>
      <c r="U357" s="43" t="str">
        <f>IFERROR(VLOOKUP(Table1[[#This Row],[Applicable FRP]],Dropdowns!$C$2:$E$15,3,FALSE),"")</f>
        <v/>
      </c>
      <c r="V357" s="43" t="str">
        <f>IFERROR(VLOOKUP(Table1[[#This Row],[LC TMDL Drainage Area]],Dropdowns!$P$3:$Q$23,2,FALSE),"")</f>
        <v/>
      </c>
      <c r="AN357" s="50"/>
      <c r="AP357" s="19"/>
      <c r="AQ357" s="19"/>
      <c r="AR35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5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5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5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5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57" s="19" t="str">
        <f>IFERROR(Table1[[#This Row],[* Practice Efficiency]]*Table1[[#This Row],[* Load Before Treatment (kg/yr)]],"")</f>
        <v/>
      </c>
      <c r="AX357" s="100">
        <v>0</v>
      </c>
      <c r="AY357" s="44" t="s">
        <v>121</v>
      </c>
      <c r="BA357" s="101">
        <v>1</v>
      </c>
      <c r="BB35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57" s="44"/>
      <c r="BD357" s="44"/>
      <c r="BJ357" s="43"/>
      <c r="BK357" s="45"/>
      <c r="BL357" s="45"/>
      <c r="BM35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5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5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5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5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57" s="19" t="str">
        <f>IFERROR(Table1[[#This Row],[* Prior Practice Efficiency]]*Table1[[#This Row],[* Prior Load Before Treatment (kg/year)]],"")</f>
        <v/>
      </c>
      <c r="BT357" s="19"/>
    </row>
    <row r="358" spans="14:72">
      <c r="N358" s="48"/>
      <c r="U358" s="43" t="str">
        <f>IFERROR(VLOOKUP(Table1[[#This Row],[Applicable FRP]],Dropdowns!$C$2:$E$15,3,FALSE),"")</f>
        <v/>
      </c>
      <c r="V358" s="43" t="str">
        <f>IFERROR(VLOOKUP(Table1[[#This Row],[LC TMDL Drainage Area]],Dropdowns!$P$3:$Q$23,2,FALSE),"")</f>
        <v/>
      </c>
      <c r="AN358" s="50"/>
      <c r="AP358" s="19"/>
      <c r="AQ358" s="19"/>
      <c r="AR35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5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5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5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5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58" s="19" t="str">
        <f>IFERROR(Table1[[#This Row],[* Practice Efficiency]]*Table1[[#This Row],[* Load Before Treatment (kg/yr)]],"")</f>
        <v/>
      </c>
      <c r="AX358" s="100">
        <v>0</v>
      </c>
      <c r="AY358" s="44" t="s">
        <v>121</v>
      </c>
      <c r="BA358" s="101">
        <v>1</v>
      </c>
      <c r="BB35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58" s="44"/>
      <c r="BD358" s="44"/>
      <c r="BJ358" s="43"/>
      <c r="BK358" s="45"/>
      <c r="BL358" s="45"/>
      <c r="BM35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5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5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5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5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58" s="19" t="str">
        <f>IFERROR(Table1[[#This Row],[* Prior Practice Efficiency]]*Table1[[#This Row],[* Prior Load Before Treatment (kg/year)]],"")</f>
        <v/>
      </c>
      <c r="BT358" s="19"/>
    </row>
    <row r="359" spans="14:72">
      <c r="N359" s="48"/>
      <c r="U359" s="43" t="str">
        <f>IFERROR(VLOOKUP(Table1[[#This Row],[Applicable FRP]],Dropdowns!$C$2:$E$15,3,FALSE),"")</f>
        <v/>
      </c>
      <c r="V359" s="43" t="str">
        <f>IFERROR(VLOOKUP(Table1[[#This Row],[LC TMDL Drainage Area]],Dropdowns!$P$3:$Q$23,2,FALSE),"")</f>
        <v/>
      </c>
      <c r="AN359" s="50"/>
      <c r="AP359" s="19"/>
      <c r="AQ359" s="19"/>
      <c r="AR35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5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5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5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5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59" s="19" t="str">
        <f>IFERROR(Table1[[#This Row],[* Practice Efficiency]]*Table1[[#This Row],[* Load Before Treatment (kg/yr)]],"")</f>
        <v/>
      </c>
      <c r="AX359" s="100">
        <v>0</v>
      </c>
      <c r="AY359" s="44" t="s">
        <v>121</v>
      </c>
      <c r="BA359" s="101">
        <v>1</v>
      </c>
      <c r="BB35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59" s="44"/>
      <c r="BD359" s="44"/>
      <c r="BJ359" s="43"/>
      <c r="BK359" s="45"/>
      <c r="BL359" s="45"/>
      <c r="BM35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5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5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5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5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59" s="19" t="str">
        <f>IFERROR(Table1[[#This Row],[* Prior Practice Efficiency]]*Table1[[#This Row],[* Prior Load Before Treatment (kg/year)]],"")</f>
        <v/>
      </c>
      <c r="BT359" s="19"/>
    </row>
    <row r="360" spans="14:72">
      <c r="N360" s="48"/>
      <c r="U360" s="43" t="str">
        <f>IFERROR(VLOOKUP(Table1[[#This Row],[Applicable FRP]],Dropdowns!$C$2:$E$15,3,FALSE),"")</f>
        <v/>
      </c>
      <c r="V360" s="43" t="str">
        <f>IFERROR(VLOOKUP(Table1[[#This Row],[LC TMDL Drainage Area]],Dropdowns!$P$3:$Q$23,2,FALSE),"")</f>
        <v/>
      </c>
      <c r="AN360" s="50"/>
      <c r="AP360" s="19"/>
      <c r="AQ360" s="19"/>
      <c r="AR36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6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6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6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6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60" s="19" t="str">
        <f>IFERROR(Table1[[#This Row],[* Practice Efficiency]]*Table1[[#This Row],[* Load Before Treatment (kg/yr)]],"")</f>
        <v/>
      </c>
      <c r="AX360" s="100">
        <v>0</v>
      </c>
      <c r="AY360" s="44" t="s">
        <v>121</v>
      </c>
      <c r="BA360" s="101">
        <v>1</v>
      </c>
      <c r="BB36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60" s="44"/>
      <c r="BD360" s="44"/>
      <c r="BJ360" s="43"/>
      <c r="BK360" s="45"/>
      <c r="BL360" s="45"/>
      <c r="BM36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6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6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6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6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60" s="19" t="str">
        <f>IFERROR(Table1[[#This Row],[* Prior Practice Efficiency]]*Table1[[#This Row],[* Prior Load Before Treatment (kg/year)]],"")</f>
        <v/>
      </c>
      <c r="BT360" s="19"/>
    </row>
    <row r="361" spans="14:72">
      <c r="N361" s="48"/>
      <c r="U361" s="43" t="str">
        <f>IFERROR(VLOOKUP(Table1[[#This Row],[Applicable FRP]],Dropdowns!$C$2:$E$15,3,FALSE),"")</f>
        <v/>
      </c>
      <c r="V361" s="43" t="str">
        <f>IFERROR(VLOOKUP(Table1[[#This Row],[LC TMDL Drainage Area]],Dropdowns!$P$3:$Q$23,2,FALSE),"")</f>
        <v/>
      </c>
      <c r="AN361" s="50"/>
      <c r="AP361" s="19"/>
      <c r="AQ361" s="19"/>
      <c r="AR36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6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6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6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6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61" s="19" t="str">
        <f>IFERROR(Table1[[#This Row],[* Practice Efficiency]]*Table1[[#This Row],[* Load Before Treatment (kg/yr)]],"")</f>
        <v/>
      </c>
      <c r="AX361" s="100">
        <v>0</v>
      </c>
      <c r="AY361" s="44" t="s">
        <v>121</v>
      </c>
      <c r="BA361" s="101">
        <v>1</v>
      </c>
      <c r="BB36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61" s="44"/>
      <c r="BD361" s="44"/>
      <c r="BJ361" s="43"/>
      <c r="BK361" s="45"/>
      <c r="BL361" s="45"/>
      <c r="BM36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6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6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6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6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61" s="19" t="str">
        <f>IFERROR(Table1[[#This Row],[* Prior Practice Efficiency]]*Table1[[#This Row],[* Prior Load Before Treatment (kg/year)]],"")</f>
        <v/>
      </c>
      <c r="BT361" s="19"/>
    </row>
    <row r="362" spans="14:72">
      <c r="N362" s="48"/>
      <c r="U362" s="43" t="str">
        <f>IFERROR(VLOOKUP(Table1[[#This Row],[Applicable FRP]],Dropdowns!$C$2:$E$15,3,FALSE),"")</f>
        <v/>
      </c>
      <c r="V362" s="43" t="str">
        <f>IFERROR(VLOOKUP(Table1[[#This Row],[LC TMDL Drainage Area]],Dropdowns!$P$3:$Q$23,2,FALSE),"")</f>
        <v/>
      </c>
      <c r="AN362" s="50"/>
      <c r="AP362" s="19"/>
      <c r="AQ362" s="19"/>
      <c r="AR36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6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6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6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6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62" s="19" t="str">
        <f>IFERROR(Table1[[#This Row],[* Practice Efficiency]]*Table1[[#This Row],[* Load Before Treatment (kg/yr)]],"")</f>
        <v/>
      </c>
      <c r="AX362" s="100">
        <v>0</v>
      </c>
      <c r="AY362" s="44" t="s">
        <v>121</v>
      </c>
      <c r="BA362" s="101">
        <v>1</v>
      </c>
      <c r="BB36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62" s="44"/>
      <c r="BD362" s="44"/>
      <c r="BJ362" s="43"/>
      <c r="BK362" s="45"/>
      <c r="BL362" s="45"/>
      <c r="BM36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6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6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6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6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62" s="19" t="str">
        <f>IFERROR(Table1[[#This Row],[* Prior Practice Efficiency]]*Table1[[#This Row],[* Prior Load Before Treatment (kg/year)]],"")</f>
        <v/>
      </c>
      <c r="BT362" s="19"/>
    </row>
    <row r="363" spans="14:72">
      <c r="N363" s="48"/>
      <c r="U363" s="43" t="str">
        <f>IFERROR(VLOOKUP(Table1[[#This Row],[Applicable FRP]],Dropdowns!$C$2:$E$15,3,FALSE),"")</f>
        <v/>
      </c>
      <c r="V363" s="43" t="str">
        <f>IFERROR(VLOOKUP(Table1[[#This Row],[LC TMDL Drainage Area]],Dropdowns!$P$3:$Q$23,2,FALSE),"")</f>
        <v/>
      </c>
      <c r="AN363" s="50"/>
      <c r="AP363" s="19"/>
      <c r="AQ363" s="19"/>
      <c r="AR36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6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6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6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6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63" s="19" t="str">
        <f>IFERROR(Table1[[#This Row],[* Practice Efficiency]]*Table1[[#This Row],[* Load Before Treatment (kg/yr)]],"")</f>
        <v/>
      </c>
      <c r="AX363" s="100">
        <v>0</v>
      </c>
      <c r="AY363" s="44" t="s">
        <v>121</v>
      </c>
      <c r="BA363" s="101">
        <v>1</v>
      </c>
      <c r="BB36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63" s="44"/>
      <c r="BD363" s="44"/>
      <c r="BJ363" s="43"/>
      <c r="BK363" s="45"/>
      <c r="BL363" s="45"/>
      <c r="BM36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6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6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6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6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63" s="19" t="str">
        <f>IFERROR(Table1[[#This Row],[* Prior Practice Efficiency]]*Table1[[#This Row],[* Prior Load Before Treatment (kg/year)]],"")</f>
        <v/>
      </c>
      <c r="BT363" s="19"/>
    </row>
    <row r="364" spans="14:72">
      <c r="N364" s="48"/>
      <c r="U364" s="43" t="str">
        <f>IFERROR(VLOOKUP(Table1[[#This Row],[Applicable FRP]],Dropdowns!$C$2:$E$15,3,FALSE),"")</f>
        <v/>
      </c>
      <c r="V364" s="43" t="str">
        <f>IFERROR(VLOOKUP(Table1[[#This Row],[LC TMDL Drainage Area]],Dropdowns!$P$3:$Q$23,2,FALSE),"")</f>
        <v/>
      </c>
      <c r="AN364" s="50"/>
      <c r="AP364" s="19"/>
      <c r="AQ364" s="19"/>
      <c r="AR36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6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6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6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6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64" s="19" t="str">
        <f>IFERROR(Table1[[#This Row],[* Practice Efficiency]]*Table1[[#This Row],[* Load Before Treatment (kg/yr)]],"")</f>
        <v/>
      </c>
      <c r="AX364" s="100">
        <v>0</v>
      </c>
      <c r="AY364" s="44" t="s">
        <v>121</v>
      </c>
      <c r="BA364" s="101">
        <v>1</v>
      </c>
      <c r="BB36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64" s="44"/>
      <c r="BD364" s="44"/>
      <c r="BJ364" s="43"/>
      <c r="BK364" s="45"/>
      <c r="BL364" s="45"/>
      <c r="BM36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6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6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6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6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64" s="19" t="str">
        <f>IFERROR(Table1[[#This Row],[* Prior Practice Efficiency]]*Table1[[#This Row],[* Prior Load Before Treatment (kg/year)]],"")</f>
        <v/>
      </c>
      <c r="BT364" s="19"/>
    </row>
    <row r="365" spans="14:72">
      <c r="N365" s="48"/>
      <c r="U365" s="43" t="str">
        <f>IFERROR(VLOOKUP(Table1[[#This Row],[Applicable FRP]],Dropdowns!$C$2:$E$15,3,FALSE),"")</f>
        <v/>
      </c>
      <c r="V365" s="43" t="str">
        <f>IFERROR(VLOOKUP(Table1[[#This Row],[LC TMDL Drainage Area]],Dropdowns!$P$3:$Q$23,2,FALSE),"")</f>
        <v/>
      </c>
      <c r="AN365" s="50"/>
      <c r="AP365" s="19"/>
      <c r="AQ365" s="19"/>
      <c r="AR36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6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6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6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6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65" s="19" t="str">
        <f>IFERROR(Table1[[#This Row],[* Practice Efficiency]]*Table1[[#This Row],[* Load Before Treatment (kg/yr)]],"")</f>
        <v/>
      </c>
      <c r="AX365" s="100">
        <v>0</v>
      </c>
      <c r="AY365" s="44" t="s">
        <v>121</v>
      </c>
      <c r="BA365" s="101">
        <v>1</v>
      </c>
      <c r="BB36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65" s="44"/>
      <c r="BD365" s="44"/>
      <c r="BJ365" s="43"/>
      <c r="BK365" s="45"/>
      <c r="BL365" s="45"/>
      <c r="BM36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6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6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6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6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65" s="19" t="str">
        <f>IFERROR(Table1[[#This Row],[* Prior Practice Efficiency]]*Table1[[#This Row],[* Prior Load Before Treatment (kg/year)]],"")</f>
        <v/>
      </c>
      <c r="BT365" s="19"/>
    </row>
    <row r="366" spans="14:72">
      <c r="N366" s="48"/>
      <c r="U366" s="43" t="str">
        <f>IFERROR(VLOOKUP(Table1[[#This Row],[Applicable FRP]],Dropdowns!$C$2:$E$15,3,FALSE),"")</f>
        <v/>
      </c>
      <c r="V366" s="43" t="str">
        <f>IFERROR(VLOOKUP(Table1[[#This Row],[LC TMDL Drainage Area]],Dropdowns!$P$3:$Q$23,2,FALSE),"")</f>
        <v/>
      </c>
      <c r="AN366" s="50"/>
      <c r="AP366" s="19"/>
      <c r="AQ366" s="19"/>
      <c r="AR36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6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6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6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6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66" s="19" t="str">
        <f>IFERROR(Table1[[#This Row],[* Practice Efficiency]]*Table1[[#This Row],[* Load Before Treatment (kg/yr)]],"")</f>
        <v/>
      </c>
      <c r="AX366" s="100">
        <v>0</v>
      </c>
      <c r="AY366" s="44" t="s">
        <v>121</v>
      </c>
      <c r="BA366" s="101">
        <v>1</v>
      </c>
      <c r="BB36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66" s="44"/>
      <c r="BD366" s="44"/>
      <c r="BJ366" s="43"/>
      <c r="BK366" s="45"/>
      <c r="BL366" s="45"/>
      <c r="BM36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6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6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6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6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66" s="19" t="str">
        <f>IFERROR(Table1[[#This Row],[* Prior Practice Efficiency]]*Table1[[#This Row],[* Prior Load Before Treatment (kg/year)]],"")</f>
        <v/>
      </c>
      <c r="BT366" s="19"/>
    </row>
    <row r="367" spans="14:72">
      <c r="N367" s="48"/>
      <c r="U367" s="43" t="str">
        <f>IFERROR(VLOOKUP(Table1[[#This Row],[Applicable FRP]],Dropdowns!$C$2:$E$15,3,FALSE),"")</f>
        <v/>
      </c>
      <c r="V367" s="43" t="str">
        <f>IFERROR(VLOOKUP(Table1[[#This Row],[LC TMDL Drainage Area]],Dropdowns!$P$3:$Q$23,2,FALSE),"")</f>
        <v/>
      </c>
      <c r="AN367" s="50"/>
      <c r="AP367" s="19"/>
      <c r="AQ367" s="19"/>
      <c r="AR36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6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6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6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6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67" s="19" t="str">
        <f>IFERROR(Table1[[#This Row],[* Practice Efficiency]]*Table1[[#This Row],[* Load Before Treatment (kg/yr)]],"")</f>
        <v/>
      </c>
      <c r="AX367" s="100">
        <v>0</v>
      </c>
      <c r="AY367" s="44" t="s">
        <v>121</v>
      </c>
      <c r="BA367" s="101">
        <v>1</v>
      </c>
      <c r="BB36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67" s="44"/>
      <c r="BD367" s="44"/>
      <c r="BJ367" s="43"/>
      <c r="BK367" s="45"/>
      <c r="BL367" s="45"/>
      <c r="BM36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6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6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6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6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67" s="19" t="str">
        <f>IFERROR(Table1[[#This Row],[* Prior Practice Efficiency]]*Table1[[#This Row],[* Prior Load Before Treatment (kg/year)]],"")</f>
        <v/>
      </c>
      <c r="BT367" s="19"/>
    </row>
    <row r="368" spans="14:72">
      <c r="N368" s="48"/>
      <c r="U368" s="43" t="str">
        <f>IFERROR(VLOOKUP(Table1[[#This Row],[Applicable FRP]],Dropdowns!$C$2:$E$15,3,FALSE),"")</f>
        <v/>
      </c>
      <c r="V368" s="43" t="str">
        <f>IFERROR(VLOOKUP(Table1[[#This Row],[LC TMDL Drainage Area]],Dropdowns!$P$3:$Q$23,2,FALSE),"")</f>
        <v/>
      </c>
      <c r="AN368" s="50"/>
      <c r="AP368" s="19"/>
      <c r="AQ368" s="19"/>
      <c r="AR36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6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6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6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6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68" s="19" t="str">
        <f>IFERROR(Table1[[#This Row],[* Practice Efficiency]]*Table1[[#This Row],[* Load Before Treatment (kg/yr)]],"")</f>
        <v/>
      </c>
      <c r="AX368" s="100">
        <v>0</v>
      </c>
      <c r="AY368" s="44" t="s">
        <v>121</v>
      </c>
      <c r="BA368" s="101">
        <v>1</v>
      </c>
      <c r="BB36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68" s="44"/>
      <c r="BD368" s="44"/>
      <c r="BJ368" s="43"/>
      <c r="BK368" s="45"/>
      <c r="BL368" s="45"/>
      <c r="BM36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6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6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6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6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68" s="19" t="str">
        <f>IFERROR(Table1[[#This Row],[* Prior Practice Efficiency]]*Table1[[#This Row],[* Prior Load Before Treatment (kg/year)]],"")</f>
        <v/>
      </c>
      <c r="BT368" s="19"/>
    </row>
    <row r="369" spans="14:72">
      <c r="N369" s="48"/>
      <c r="U369" s="43" t="str">
        <f>IFERROR(VLOOKUP(Table1[[#This Row],[Applicable FRP]],Dropdowns!$C$2:$E$15,3,FALSE),"")</f>
        <v/>
      </c>
      <c r="V369" s="43" t="str">
        <f>IFERROR(VLOOKUP(Table1[[#This Row],[LC TMDL Drainage Area]],Dropdowns!$P$3:$Q$23,2,FALSE),"")</f>
        <v/>
      </c>
      <c r="AN369" s="50"/>
      <c r="AP369" s="19"/>
      <c r="AQ369" s="19"/>
      <c r="AR36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6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6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6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6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69" s="19" t="str">
        <f>IFERROR(Table1[[#This Row],[* Practice Efficiency]]*Table1[[#This Row],[* Load Before Treatment (kg/yr)]],"")</f>
        <v/>
      </c>
      <c r="AX369" s="100">
        <v>0</v>
      </c>
      <c r="AY369" s="44" t="s">
        <v>121</v>
      </c>
      <c r="BA369" s="101">
        <v>1</v>
      </c>
      <c r="BB36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69" s="44"/>
      <c r="BD369" s="44"/>
      <c r="BJ369" s="43"/>
      <c r="BK369" s="45"/>
      <c r="BL369" s="45"/>
      <c r="BM36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6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6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6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6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69" s="19" t="str">
        <f>IFERROR(Table1[[#This Row],[* Prior Practice Efficiency]]*Table1[[#This Row],[* Prior Load Before Treatment (kg/year)]],"")</f>
        <v/>
      </c>
      <c r="BT369" s="19"/>
    </row>
    <row r="370" spans="14:72">
      <c r="N370" s="48"/>
      <c r="U370" s="43" t="str">
        <f>IFERROR(VLOOKUP(Table1[[#This Row],[Applicable FRP]],Dropdowns!$C$2:$E$15,3,FALSE),"")</f>
        <v/>
      </c>
      <c r="V370" s="43" t="str">
        <f>IFERROR(VLOOKUP(Table1[[#This Row],[LC TMDL Drainage Area]],Dropdowns!$P$3:$Q$23,2,FALSE),"")</f>
        <v/>
      </c>
      <c r="AN370" s="50"/>
      <c r="AP370" s="19"/>
      <c r="AQ370" s="19"/>
      <c r="AR37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7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7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7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7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70" s="19" t="str">
        <f>IFERROR(Table1[[#This Row],[* Practice Efficiency]]*Table1[[#This Row],[* Load Before Treatment (kg/yr)]],"")</f>
        <v/>
      </c>
      <c r="AX370" s="100">
        <v>0</v>
      </c>
      <c r="AY370" s="44" t="s">
        <v>121</v>
      </c>
      <c r="BA370" s="101">
        <v>1</v>
      </c>
      <c r="BB37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70" s="44"/>
      <c r="BD370" s="44"/>
      <c r="BJ370" s="43"/>
      <c r="BK370" s="45"/>
      <c r="BL370" s="45"/>
      <c r="BM37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7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7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7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7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70" s="19" t="str">
        <f>IFERROR(Table1[[#This Row],[* Prior Practice Efficiency]]*Table1[[#This Row],[* Prior Load Before Treatment (kg/year)]],"")</f>
        <v/>
      </c>
      <c r="BT370" s="19"/>
    </row>
    <row r="371" spans="14:72">
      <c r="N371" s="48"/>
      <c r="U371" s="43" t="str">
        <f>IFERROR(VLOOKUP(Table1[[#This Row],[Applicable FRP]],Dropdowns!$C$2:$E$15,3,FALSE),"")</f>
        <v/>
      </c>
      <c r="V371" s="43" t="str">
        <f>IFERROR(VLOOKUP(Table1[[#This Row],[LC TMDL Drainage Area]],Dropdowns!$P$3:$Q$23,2,FALSE),"")</f>
        <v/>
      </c>
      <c r="AN371" s="50"/>
      <c r="AP371" s="19"/>
      <c r="AQ371" s="19"/>
      <c r="AR37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7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7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7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7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71" s="19" t="str">
        <f>IFERROR(Table1[[#This Row],[* Practice Efficiency]]*Table1[[#This Row],[* Load Before Treatment (kg/yr)]],"")</f>
        <v/>
      </c>
      <c r="AX371" s="100">
        <v>0</v>
      </c>
      <c r="AY371" s="44" t="s">
        <v>121</v>
      </c>
      <c r="BA371" s="101">
        <v>1</v>
      </c>
      <c r="BB37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71" s="44"/>
      <c r="BD371" s="44"/>
      <c r="BJ371" s="43"/>
      <c r="BK371" s="45"/>
      <c r="BL371" s="45"/>
      <c r="BM37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7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7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7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7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71" s="19" t="str">
        <f>IFERROR(Table1[[#This Row],[* Prior Practice Efficiency]]*Table1[[#This Row],[* Prior Load Before Treatment (kg/year)]],"")</f>
        <v/>
      </c>
      <c r="BT371" s="19"/>
    </row>
    <row r="372" spans="14:72">
      <c r="N372" s="48"/>
      <c r="U372" s="43" t="str">
        <f>IFERROR(VLOOKUP(Table1[[#This Row],[Applicable FRP]],Dropdowns!$C$2:$E$15,3,FALSE),"")</f>
        <v/>
      </c>
      <c r="V372" s="43" t="str">
        <f>IFERROR(VLOOKUP(Table1[[#This Row],[LC TMDL Drainage Area]],Dropdowns!$P$3:$Q$23,2,FALSE),"")</f>
        <v/>
      </c>
      <c r="AN372" s="50"/>
      <c r="AP372" s="19"/>
      <c r="AQ372" s="19"/>
      <c r="AR37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7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7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7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7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72" s="19" t="str">
        <f>IFERROR(Table1[[#This Row],[* Practice Efficiency]]*Table1[[#This Row],[* Load Before Treatment (kg/yr)]],"")</f>
        <v/>
      </c>
      <c r="AX372" s="100">
        <v>0</v>
      </c>
      <c r="AY372" s="44" t="s">
        <v>121</v>
      </c>
      <c r="BA372" s="101">
        <v>1</v>
      </c>
      <c r="BB37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72" s="44"/>
      <c r="BD372" s="44"/>
      <c r="BJ372" s="43"/>
      <c r="BK372" s="45"/>
      <c r="BL372" s="45"/>
      <c r="BM37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7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7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7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7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72" s="19" t="str">
        <f>IFERROR(Table1[[#This Row],[* Prior Practice Efficiency]]*Table1[[#This Row],[* Prior Load Before Treatment (kg/year)]],"")</f>
        <v/>
      </c>
      <c r="BT372" s="19"/>
    </row>
    <row r="373" spans="14:72">
      <c r="N373" s="48"/>
      <c r="U373" s="43" t="str">
        <f>IFERROR(VLOOKUP(Table1[[#This Row],[Applicable FRP]],Dropdowns!$C$2:$E$15,3,FALSE),"")</f>
        <v/>
      </c>
      <c r="V373" s="43" t="str">
        <f>IFERROR(VLOOKUP(Table1[[#This Row],[LC TMDL Drainage Area]],Dropdowns!$P$3:$Q$23,2,FALSE),"")</f>
        <v/>
      </c>
      <c r="AN373" s="50"/>
      <c r="AP373" s="19"/>
      <c r="AQ373" s="19"/>
      <c r="AR37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7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7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7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7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73" s="19" t="str">
        <f>IFERROR(Table1[[#This Row],[* Practice Efficiency]]*Table1[[#This Row],[* Load Before Treatment (kg/yr)]],"")</f>
        <v/>
      </c>
      <c r="AX373" s="100">
        <v>0</v>
      </c>
      <c r="AY373" s="44" t="s">
        <v>121</v>
      </c>
      <c r="BA373" s="101">
        <v>1</v>
      </c>
      <c r="BB37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73" s="44"/>
      <c r="BD373" s="44"/>
      <c r="BJ373" s="43"/>
      <c r="BK373" s="45"/>
      <c r="BL373" s="45"/>
      <c r="BM37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7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7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7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7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73" s="19" t="str">
        <f>IFERROR(Table1[[#This Row],[* Prior Practice Efficiency]]*Table1[[#This Row],[* Prior Load Before Treatment (kg/year)]],"")</f>
        <v/>
      </c>
      <c r="BT373" s="19"/>
    </row>
    <row r="374" spans="14:72">
      <c r="N374" s="48"/>
      <c r="U374" s="43" t="str">
        <f>IFERROR(VLOOKUP(Table1[[#This Row],[Applicable FRP]],Dropdowns!$C$2:$E$15,3,FALSE),"")</f>
        <v/>
      </c>
      <c r="V374" s="43" t="str">
        <f>IFERROR(VLOOKUP(Table1[[#This Row],[LC TMDL Drainage Area]],Dropdowns!$P$3:$Q$23,2,FALSE),"")</f>
        <v/>
      </c>
      <c r="AN374" s="50"/>
      <c r="AP374" s="19"/>
      <c r="AQ374" s="19"/>
      <c r="AR37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7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7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7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7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74" s="19" t="str">
        <f>IFERROR(Table1[[#This Row],[* Practice Efficiency]]*Table1[[#This Row],[* Load Before Treatment (kg/yr)]],"")</f>
        <v/>
      </c>
      <c r="AX374" s="100">
        <v>0</v>
      </c>
      <c r="AY374" s="44" t="s">
        <v>121</v>
      </c>
      <c r="BA374" s="101">
        <v>1</v>
      </c>
      <c r="BB37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74" s="44"/>
      <c r="BD374" s="44"/>
      <c r="BJ374" s="43"/>
      <c r="BK374" s="45"/>
      <c r="BL374" s="45"/>
      <c r="BM37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7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7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7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7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74" s="19" t="str">
        <f>IFERROR(Table1[[#This Row],[* Prior Practice Efficiency]]*Table1[[#This Row],[* Prior Load Before Treatment (kg/year)]],"")</f>
        <v/>
      </c>
      <c r="BT374" s="19"/>
    </row>
    <row r="375" spans="14:72">
      <c r="N375" s="48"/>
      <c r="U375" s="43" t="str">
        <f>IFERROR(VLOOKUP(Table1[[#This Row],[Applicable FRP]],Dropdowns!$C$2:$E$15,3,FALSE),"")</f>
        <v/>
      </c>
      <c r="V375" s="43" t="str">
        <f>IFERROR(VLOOKUP(Table1[[#This Row],[LC TMDL Drainage Area]],Dropdowns!$P$3:$Q$23,2,FALSE),"")</f>
        <v/>
      </c>
      <c r="AN375" s="50"/>
      <c r="AP375" s="19"/>
      <c r="AQ375" s="19"/>
      <c r="AR37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7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7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7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7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75" s="19" t="str">
        <f>IFERROR(Table1[[#This Row],[* Practice Efficiency]]*Table1[[#This Row],[* Load Before Treatment (kg/yr)]],"")</f>
        <v/>
      </c>
      <c r="AX375" s="100">
        <v>0</v>
      </c>
      <c r="AY375" s="44" t="s">
        <v>121</v>
      </c>
      <c r="BA375" s="101">
        <v>1</v>
      </c>
      <c r="BB37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75" s="44"/>
      <c r="BD375" s="44"/>
      <c r="BJ375" s="43"/>
      <c r="BK375" s="45"/>
      <c r="BL375" s="45"/>
      <c r="BM37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7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7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7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7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75" s="19" t="str">
        <f>IFERROR(Table1[[#This Row],[* Prior Practice Efficiency]]*Table1[[#This Row],[* Prior Load Before Treatment (kg/year)]],"")</f>
        <v/>
      </c>
      <c r="BT375" s="19"/>
    </row>
    <row r="376" spans="14:72">
      <c r="N376" s="48"/>
      <c r="U376" s="43" t="str">
        <f>IFERROR(VLOOKUP(Table1[[#This Row],[Applicable FRP]],Dropdowns!$C$2:$E$15,3,FALSE),"")</f>
        <v/>
      </c>
      <c r="V376" s="43" t="str">
        <f>IFERROR(VLOOKUP(Table1[[#This Row],[LC TMDL Drainage Area]],Dropdowns!$P$3:$Q$23,2,FALSE),"")</f>
        <v/>
      </c>
      <c r="AN376" s="50"/>
      <c r="AP376" s="19"/>
      <c r="AQ376" s="19"/>
      <c r="AR37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7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7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7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7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76" s="19" t="str">
        <f>IFERROR(Table1[[#This Row],[* Practice Efficiency]]*Table1[[#This Row],[* Load Before Treatment (kg/yr)]],"")</f>
        <v/>
      </c>
      <c r="AX376" s="100">
        <v>0</v>
      </c>
      <c r="AY376" s="44" t="s">
        <v>121</v>
      </c>
      <c r="BA376" s="101">
        <v>1</v>
      </c>
      <c r="BB37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76" s="44"/>
      <c r="BD376" s="44"/>
      <c r="BJ376" s="43"/>
      <c r="BK376" s="45"/>
      <c r="BL376" s="45"/>
      <c r="BM37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7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7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7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7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76" s="19" t="str">
        <f>IFERROR(Table1[[#This Row],[* Prior Practice Efficiency]]*Table1[[#This Row],[* Prior Load Before Treatment (kg/year)]],"")</f>
        <v/>
      </c>
      <c r="BT376" s="19"/>
    </row>
    <row r="377" spans="14:72">
      <c r="N377" s="48"/>
      <c r="U377" s="43" t="str">
        <f>IFERROR(VLOOKUP(Table1[[#This Row],[Applicable FRP]],Dropdowns!$C$2:$E$15,3,FALSE),"")</f>
        <v/>
      </c>
      <c r="V377" s="43" t="str">
        <f>IFERROR(VLOOKUP(Table1[[#This Row],[LC TMDL Drainage Area]],Dropdowns!$P$3:$Q$23,2,FALSE),"")</f>
        <v/>
      </c>
      <c r="AN377" s="50"/>
      <c r="AP377" s="19"/>
      <c r="AQ377" s="19"/>
      <c r="AR37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7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7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7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7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77" s="19" t="str">
        <f>IFERROR(Table1[[#This Row],[* Practice Efficiency]]*Table1[[#This Row],[* Load Before Treatment (kg/yr)]],"")</f>
        <v/>
      </c>
      <c r="AX377" s="100">
        <v>0</v>
      </c>
      <c r="AY377" s="44" t="s">
        <v>121</v>
      </c>
      <c r="BA377" s="101">
        <v>1</v>
      </c>
      <c r="BB37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77" s="44"/>
      <c r="BD377" s="44"/>
      <c r="BJ377" s="43"/>
      <c r="BK377" s="45"/>
      <c r="BL377" s="45"/>
      <c r="BM37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7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7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7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7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77" s="19" t="str">
        <f>IFERROR(Table1[[#This Row],[* Prior Practice Efficiency]]*Table1[[#This Row],[* Prior Load Before Treatment (kg/year)]],"")</f>
        <v/>
      </c>
      <c r="BT377" s="19"/>
    </row>
    <row r="378" spans="14:72">
      <c r="N378" s="48"/>
      <c r="U378" s="43" t="str">
        <f>IFERROR(VLOOKUP(Table1[[#This Row],[Applicable FRP]],Dropdowns!$C$2:$E$15,3,FALSE),"")</f>
        <v/>
      </c>
      <c r="V378" s="43" t="str">
        <f>IFERROR(VLOOKUP(Table1[[#This Row],[LC TMDL Drainage Area]],Dropdowns!$P$3:$Q$23,2,FALSE),"")</f>
        <v/>
      </c>
      <c r="AN378" s="50"/>
      <c r="AP378" s="19"/>
      <c r="AQ378" s="19"/>
      <c r="AR37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7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7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7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7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78" s="19" t="str">
        <f>IFERROR(Table1[[#This Row],[* Practice Efficiency]]*Table1[[#This Row],[* Load Before Treatment (kg/yr)]],"")</f>
        <v/>
      </c>
      <c r="AX378" s="100">
        <v>0</v>
      </c>
      <c r="AY378" s="44" t="s">
        <v>121</v>
      </c>
      <c r="BA378" s="101">
        <v>1</v>
      </c>
      <c r="BB37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78" s="44"/>
      <c r="BD378" s="44"/>
      <c r="BJ378" s="43"/>
      <c r="BK378" s="45"/>
      <c r="BL378" s="45"/>
      <c r="BM37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7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7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7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7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78" s="19" t="str">
        <f>IFERROR(Table1[[#This Row],[* Prior Practice Efficiency]]*Table1[[#This Row],[* Prior Load Before Treatment (kg/year)]],"")</f>
        <v/>
      </c>
      <c r="BT378" s="19"/>
    </row>
    <row r="379" spans="14:72">
      <c r="N379" s="48"/>
      <c r="U379" s="43" t="str">
        <f>IFERROR(VLOOKUP(Table1[[#This Row],[Applicable FRP]],Dropdowns!$C$2:$E$15,3,FALSE),"")</f>
        <v/>
      </c>
      <c r="V379" s="43" t="str">
        <f>IFERROR(VLOOKUP(Table1[[#This Row],[LC TMDL Drainage Area]],Dropdowns!$P$3:$Q$23,2,FALSE),"")</f>
        <v/>
      </c>
      <c r="AN379" s="50"/>
      <c r="AP379" s="19"/>
      <c r="AQ379" s="19"/>
      <c r="AR37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7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7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7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7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79" s="19" t="str">
        <f>IFERROR(Table1[[#This Row],[* Practice Efficiency]]*Table1[[#This Row],[* Load Before Treatment (kg/yr)]],"")</f>
        <v/>
      </c>
      <c r="AX379" s="100">
        <v>0</v>
      </c>
      <c r="AY379" s="44" t="s">
        <v>121</v>
      </c>
      <c r="BA379" s="101">
        <v>1</v>
      </c>
      <c r="BB37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79" s="44"/>
      <c r="BD379" s="44"/>
      <c r="BJ379" s="43"/>
      <c r="BK379" s="45"/>
      <c r="BL379" s="45"/>
      <c r="BM37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7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7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7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7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79" s="19" t="str">
        <f>IFERROR(Table1[[#This Row],[* Prior Practice Efficiency]]*Table1[[#This Row],[* Prior Load Before Treatment (kg/year)]],"")</f>
        <v/>
      </c>
      <c r="BT379" s="19"/>
    </row>
    <row r="380" spans="14:72">
      <c r="N380" s="48"/>
      <c r="U380" s="43" t="str">
        <f>IFERROR(VLOOKUP(Table1[[#This Row],[Applicable FRP]],Dropdowns!$C$2:$E$15,3,FALSE),"")</f>
        <v/>
      </c>
      <c r="V380" s="43" t="str">
        <f>IFERROR(VLOOKUP(Table1[[#This Row],[LC TMDL Drainage Area]],Dropdowns!$P$3:$Q$23,2,FALSE),"")</f>
        <v/>
      </c>
      <c r="AN380" s="50"/>
      <c r="AP380" s="19"/>
      <c r="AQ380" s="19"/>
      <c r="AR38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8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8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8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8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80" s="19" t="str">
        <f>IFERROR(Table1[[#This Row],[* Practice Efficiency]]*Table1[[#This Row],[* Load Before Treatment (kg/yr)]],"")</f>
        <v/>
      </c>
      <c r="AX380" s="100">
        <v>0</v>
      </c>
      <c r="AY380" s="44" t="s">
        <v>121</v>
      </c>
      <c r="BA380" s="101">
        <v>1</v>
      </c>
      <c r="BB38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80" s="44"/>
      <c r="BD380" s="44"/>
      <c r="BJ380" s="43"/>
      <c r="BK380" s="45"/>
      <c r="BL380" s="45"/>
      <c r="BM38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8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8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8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8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80" s="19" t="str">
        <f>IFERROR(Table1[[#This Row],[* Prior Practice Efficiency]]*Table1[[#This Row],[* Prior Load Before Treatment (kg/year)]],"")</f>
        <v/>
      </c>
      <c r="BT380" s="19"/>
    </row>
    <row r="381" spans="14:72">
      <c r="N381" s="48"/>
      <c r="U381" s="43" t="str">
        <f>IFERROR(VLOOKUP(Table1[[#This Row],[Applicable FRP]],Dropdowns!$C$2:$E$15,3,FALSE),"")</f>
        <v/>
      </c>
      <c r="V381" s="43" t="str">
        <f>IFERROR(VLOOKUP(Table1[[#This Row],[LC TMDL Drainage Area]],Dropdowns!$P$3:$Q$23,2,FALSE),"")</f>
        <v/>
      </c>
      <c r="AN381" s="50"/>
      <c r="AP381" s="19"/>
      <c r="AQ381" s="19"/>
      <c r="AR38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8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8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8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8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81" s="19" t="str">
        <f>IFERROR(Table1[[#This Row],[* Practice Efficiency]]*Table1[[#This Row],[* Load Before Treatment (kg/yr)]],"")</f>
        <v/>
      </c>
      <c r="AX381" s="100">
        <v>0</v>
      </c>
      <c r="AY381" s="44" t="s">
        <v>121</v>
      </c>
      <c r="BA381" s="101">
        <v>1</v>
      </c>
      <c r="BB38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81" s="44"/>
      <c r="BD381" s="44"/>
      <c r="BJ381" s="43"/>
      <c r="BK381" s="45"/>
      <c r="BL381" s="45"/>
      <c r="BM38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8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8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8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8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81" s="19" t="str">
        <f>IFERROR(Table1[[#This Row],[* Prior Practice Efficiency]]*Table1[[#This Row],[* Prior Load Before Treatment (kg/year)]],"")</f>
        <v/>
      </c>
      <c r="BT381" s="19"/>
    </row>
    <row r="382" spans="14:72">
      <c r="N382" s="48"/>
      <c r="U382" s="43" t="str">
        <f>IFERROR(VLOOKUP(Table1[[#This Row],[Applicable FRP]],Dropdowns!$C$2:$E$15,3,FALSE),"")</f>
        <v/>
      </c>
      <c r="V382" s="43" t="str">
        <f>IFERROR(VLOOKUP(Table1[[#This Row],[LC TMDL Drainage Area]],Dropdowns!$P$3:$Q$23,2,FALSE),"")</f>
        <v/>
      </c>
      <c r="AN382" s="50"/>
      <c r="AP382" s="19"/>
      <c r="AQ382" s="19"/>
      <c r="AR38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8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8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8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8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82" s="19" t="str">
        <f>IFERROR(Table1[[#This Row],[* Practice Efficiency]]*Table1[[#This Row],[* Load Before Treatment (kg/yr)]],"")</f>
        <v/>
      </c>
      <c r="AX382" s="100">
        <v>0</v>
      </c>
      <c r="AY382" s="44" t="s">
        <v>121</v>
      </c>
      <c r="BA382" s="101">
        <v>1</v>
      </c>
      <c r="BB38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82" s="44"/>
      <c r="BD382" s="44"/>
      <c r="BJ382" s="43"/>
      <c r="BK382" s="45"/>
      <c r="BL382" s="45"/>
      <c r="BM38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8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8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8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8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82" s="19" t="str">
        <f>IFERROR(Table1[[#This Row],[* Prior Practice Efficiency]]*Table1[[#This Row],[* Prior Load Before Treatment (kg/year)]],"")</f>
        <v/>
      </c>
      <c r="BT382" s="19"/>
    </row>
    <row r="383" spans="14:72">
      <c r="N383" s="48"/>
      <c r="U383" s="43" t="str">
        <f>IFERROR(VLOOKUP(Table1[[#This Row],[Applicable FRP]],Dropdowns!$C$2:$E$15,3,FALSE),"")</f>
        <v/>
      </c>
      <c r="V383" s="43" t="str">
        <f>IFERROR(VLOOKUP(Table1[[#This Row],[LC TMDL Drainage Area]],Dropdowns!$P$3:$Q$23,2,FALSE),"")</f>
        <v/>
      </c>
      <c r="AN383" s="50"/>
      <c r="AP383" s="19"/>
      <c r="AQ383" s="19"/>
      <c r="AR38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8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8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8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8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83" s="19" t="str">
        <f>IFERROR(Table1[[#This Row],[* Practice Efficiency]]*Table1[[#This Row],[* Load Before Treatment (kg/yr)]],"")</f>
        <v/>
      </c>
      <c r="AX383" s="100">
        <v>0</v>
      </c>
      <c r="AY383" s="44" t="s">
        <v>121</v>
      </c>
      <c r="BA383" s="101">
        <v>1</v>
      </c>
      <c r="BB38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83" s="44"/>
      <c r="BD383" s="44"/>
      <c r="BJ383" s="43"/>
      <c r="BK383" s="45"/>
      <c r="BL383" s="45"/>
      <c r="BM38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8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8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8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8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83" s="19" t="str">
        <f>IFERROR(Table1[[#This Row],[* Prior Practice Efficiency]]*Table1[[#This Row],[* Prior Load Before Treatment (kg/year)]],"")</f>
        <v/>
      </c>
      <c r="BT383" s="19"/>
    </row>
    <row r="384" spans="14:72">
      <c r="N384" s="48"/>
      <c r="U384" s="43" t="str">
        <f>IFERROR(VLOOKUP(Table1[[#This Row],[Applicable FRP]],Dropdowns!$C$2:$E$15,3,FALSE),"")</f>
        <v/>
      </c>
      <c r="V384" s="43" t="str">
        <f>IFERROR(VLOOKUP(Table1[[#This Row],[LC TMDL Drainage Area]],Dropdowns!$P$3:$Q$23,2,FALSE),"")</f>
        <v/>
      </c>
      <c r="AN384" s="50"/>
      <c r="AP384" s="19"/>
      <c r="AQ384" s="19"/>
      <c r="AR38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8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8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8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8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84" s="19" t="str">
        <f>IFERROR(Table1[[#This Row],[* Practice Efficiency]]*Table1[[#This Row],[* Load Before Treatment (kg/yr)]],"")</f>
        <v/>
      </c>
      <c r="AX384" s="100">
        <v>0</v>
      </c>
      <c r="AY384" s="44" t="s">
        <v>121</v>
      </c>
      <c r="BA384" s="101">
        <v>1</v>
      </c>
      <c r="BB38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84" s="44"/>
      <c r="BD384" s="44"/>
      <c r="BJ384" s="43"/>
      <c r="BK384" s="45"/>
      <c r="BL384" s="45"/>
      <c r="BM38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8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8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8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8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84" s="19" t="str">
        <f>IFERROR(Table1[[#This Row],[* Prior Practice Efficiency]]*Table1[[#This Row],[* Prior Load Before Treatment (kg/year)]],"")</f>
        <v/>
      </c>
      <c r="BT384" s="19"/>
    </row>
    <row r="385" spans="14:72">
      <c r="N385" s="48"/>
      <c r="U385" s="43" t="str">
        <f>IFERROR(VLOOKUP(Table1[[#This Row],[Applicable FRP]],Dropdowns!$C$2:$E$15,3,FALSE),"")</f>
        <v/>
      </c>
      <c r="V385" s="43" t="str">
        <f>IFERROR(VLOOKUP(Table1[[#This Row],[LC TMDL Drainage Area]],Dropdowns!$P$3:$Q$23,2,FALSE),"")</f>
        <v/>
      </c>
      <c r="AN385" s="50"/>
      <c r="AP385" s="19"/>
      <c r="AQ385" s="19"/>
      <c r="AR38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8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8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8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8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85" s="19" t="str">
        <f>IFERROR(Table1[[#This Row],[* Practice Efficiency]]*Table1[[#This Row],[* Load Before Treatment (kg/yr)]],"")</f>
        <v/>
      </c>
      <c r="AX385" s="100">
        <v>0</v>
      </c>
      <c r="AY385" s="44" t="s">
        <v>121</v>
      </c>
      <c r="BA385" s="101">
        <v>1</v>
      </c>
      <c r="BB38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85" s="44"/>
      <c r="BD385" s="44"/>
      <c r="BJ385" s="43"/>
      <c r="BK385" s="45"/>
      <c r="BL385" s="45"/>
      <c r="BM38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8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8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8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8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85" s="19" t="str">
        <f>IFERROR(Table1[[#This Row],[* Prior Practice Efficiency]]*Table1[[#This Row],[* Prior Load Before Treatment (kg/year)]],"")</f>
        <v/>
      </c>
      <c r="BT385" s="19"/>
    </row>
    <row r="386" spans="14:72">
      <c r="N386" s="48"/>
      <c r="U386" s="43" t="str">
        <f>IFERROR(VLOOKUP(Table1[[#This Row],[Applicable FRP]],Dropdowns!$C$2:$E$15,3,FALSE),"")</f>
        <v/>
      </c>
      <c r="V386" s="43" t="str">
        <f>IFERROR(VLOOKUP(Table1[[#This Row],[LC TMDL Drainage Area]],Dropdowns!$P$3:$Q$23,2,FALSE),"")</f>
        <v/>
      </c>
      <c r="AN386" s="50"/>
      <c r="AP386" s="19"/>
      <c r="AQ386" s="19"/>
      <c r="AR38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8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8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8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8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86" s="19" t="str">
        <f>IFERROR(Table1[[#This Row],[* Practice Efficiency]]*Table1[[#This Row],[* Load Before Treatment (kg/yr)]],"")</f>
        <v/>
      </c>
      <c r="AX386" s="100">
        <v>0</v>
      </c>
      <c r="AY386" s="44" t="s">
        <v>121</v>
      </c>
      <c r="BA386" s="101">
        <v>1</v>
      </c>
      <c r="BB38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86" s="44"/>
      <c r="BD386" s="44"/>
      <c r="BJ386" s="43"/>
      <c r="BK386" s="45"/>
      <c r="BL386" s="45"/>
      <c r="BM38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8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8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8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8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86" s="19" t="str">
        <f>IFERROR(Table1[[#This Row],[* Prior Practice Efficiency]]*Table1[[#This Row],[* Prior Load Before Treatment (kg/year)]],"")</f>
        <v/>
      </c>
      <c r="BT386" s="19"/>
    </row>
    <row r="387" spans="14:72">
      <c r="N387" s="48"/>
      <c r="U387" s="43" t="str">
        <f>IFERROR(VLOOKUP(Table1[[#This Row],[Applicable FRP]],Dropdowns!$C$2:$E$15,3,FALSE),"")</f>
        <v/>
      </c>
      <c r="V387" s="43" t="str">
        <f>IFERROR(VLOOKUP(Table1[[#This Row],[LC TMDL Drainage Area]],Dropdowns!$P$3:$Q$23,2,FALSE),"")</f>
        <v/>
      </c>
      <c r="AN387" s="50"/>
      <c r="AP387" s="19"/>
      <c r="AQ387" s="19"/>
      <c r="AR38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8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8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8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8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87" s="19" t="str">
        <f>IFERROR(Table1[[#This Row],[* Practice Efficiency]]*Table1[[#This Row],[* Load Before Treatment (kg/yr)]],"")</f>
        <v/>
      </c>
      <c r="AX387" s="100">
        <v>0</v>
      </c>
      <c r="AY387" s="44" t="s">
        <v>121</v>
      </c>
      <c r="BA387" s="101">
        <v>1</v>
      </c>
      <c r="BB38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87" s="44"/>
      <c r="BD387" s="44"/>
      <c r="BJ387" s="43"/>
      <c r="BK387" s="45"/>
      <c r="BL387" s="45"/>
      <c r="BM38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8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8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8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8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87" s="19" t="str">
        <f>IFERROR(Table1[[#This Row],[* Prior Practice Efficiency]]*Table1[[#This Row],[* Prior Load Before Treatment (kg/year)]],"")</f>
        <v/>
      </c>
      <c r="BT387" s="19"/>
    </row>
    <row r="388" spans="14:72">
      <c r="N388" s="48"/>
      <c r="U388" s="43" t="str">
        <f>IFERROR(VLOOKUP(Table1[[#This Row],[Applicable FRP]],Dropdowns!$C$2:$E$15,3,FALSE),"")</f>
        <v/>
      </c>
      <c r="V388" s="43" t="str">
        <f>IFERROR(VLOOKUP(Table1[[#This Row],[LC TMDL Drainage Area]],Dropdowns!$P$3:$Q$23,2,FALSE),"")</f>
        <v/>
      </c>
      <c r="AN388" s="50"/>
      <c r="AP388" s="19"/>
      <c r="AQ388" s="19"/>
      <c r="AR38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8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8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8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8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88" s="19" t="str">
        <f>IFERROR(Table1[[#This Row],[* Practice Efficiency]]*Table1[[#This Row],[* Load Before Treatment (kg/yr)]],"")</f>
        <v/>
      </c>
      <c r="AX388" s="100">
        <v>0</v>
      </c>
      <c r="AY388" s="44" t="s">
        <v>121</v>
      </c>
      <c r="BA388" s="101">
        <v>1</v>
      </c>
      <c r="BB38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88" s="44"/>
      <c r="BD388" s="44"/>
      <c r="BJ388" s="43"/>
      <c r="BK388" s="45"/>
      <c r="BL388" s="45"/>
      <c r="BM38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8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8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8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8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88" s="19" t="str">
        <f>IFERROR(Table1[[#This Row],[* Prior Practice Efficiency]]*Table1[[#This Row],[* Prior Load Before Treatment (kg/year)]],"")</f>
        <v/>
      </c>
      <c r="BT388" s="19"/>
    </row>
    <row r="389" spans="14:72">
      <c r="N389" s="48"/>
      <c r="U389" s="43" t="str">
        <f>IFERROR(VLOOKUP(Table1[[#This Row],[Applicable FRP]],Dropdowns!$C$2:$E$15,3,FALSE),"")</f>
        <v/>
      </c>
      <c r="V389" s="43" t="str">
        <f>IFERROR(VLOOKUP(Table1[[#This Row],[LC TMDL Drainage Area]],Dropdowns!$P$3:$Q$23,2,FALSE),"")</f>
        <v/>
      </c>
      <c r="AN389" s="50"/>
      <c r="AP389" s="19"/>
      <c r="AQ389" s="19"/>
      <c r="AR38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8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8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8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8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89" s="19" t="str">
        <f>IFERROR(Table1[[#This Row],[* Practice Efficiency]]*Table1[[#This Row],[* Load Before Treatment (kg/yr)]],"")</f>
        <v/>
      </c>
      <c r="AX389" s="100">
        <v>0</v>
      </c>
      <c r="AY389" s="44" t="s">
        <v>121</v>
      </c>
      <c r="BA389" s="101">
        <v>1</v>
      </c>
      <c r="BB38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89" s="44"/>
      <c r="BD389" s="44"/>
      <c r="BJ389" s="43"/>
      <c r="BK389" s="45"/>
      <c r="BL389" s="45"/>
      <c r="BM38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8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8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8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8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89" s="19" t="str">
        <f>IFERROR(Table1[[#This Row],[* Prior Practice Efficiency]]*Table1[[#This Row],[* Prior Load Before Treatment (kg/year)]],"")</f>
        <v/>
      </c>
      <c r="BT389" s="19"/>
    </row>
    <row r="390" spans="14:72">
      <c r="N390" s="48"/>
      <c r="U390" s="43" t="str">
        <f>IFERROR(VLOOKUP(Table1[[#This Row],[Applicable FRP]],Dropdowns!$C$2:$E$15,3,FALSE),"")</f>
        <v/>
      </c>
      <c r="V390" s="43" t="str">
        <f>IFERROR(VLOOKUP(Table1[[#This Row],[LC TMDL Drainage Area]],Dropdowns!$P$3:$Q$23,2,FALSE),"")</f>
        <v/>
      </c>
      <c r="AN390" s="50"/>
      <c r="AP390" s="19"/>
      <c r="AQ390" s="19"/>
      <c r="AR39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9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9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9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9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90" s="19" t="str">
        <f>IFERROR(Table1[[#This Row],[* Practice Efficiency]]*Table1[[#This Row],[* Load Before Treatment (kg/yr)]],"")</f>
        <v/>
      </c>
      <c r="AX390" s="100">
        <v>0</v>
      </c>
      <c r="AY390" s="44" t="s">
        <v>121</v>
      </c>
      <c r="BA390" s="101">
        <v>1</v>
      </c>
      <c r="BB39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90" s="44"/>
      <c r="BD390" s="44"/>
      <c r="BJ390" s="43"/>
      <c r="BK390" s="45"/>
      <c r="BL390" s="45"/>
      <c r="BM39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9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9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9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9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90" s="19" t="str">
        <f>IFERROR(Table1[[#This Row],[* Prior Practice Efficiency]]*Table1[[#This Row],[* Prior Load Before Treatment (kg/year)]],"")</f>
        <v/>
      </c>
      <c r="BT390" s="19"/>
    </row>
    <row r="391" spans="14:72">
      <c r="N391" s="48"/>
      <c r="U391" s="43" t="str">
        <f>IFERROR(VLOOKUP(Table1[[#This Row],[Applicable FRP]],Dropdowns!$C$2:$E$15,3,FALSE),"")</f>
        <v/>
      </c>
      <c r="V391" s="43" t="str">
        <f>IFERROR(VLOOKUP(Table1[[#This Row],[LC TMDL Drainage Area]],Dropdowns!$P$3:$Q$23,2,FALSE),"")</f>
        <v/>
      </c>
      <c r="AN391" s="50"/>
      <c r="AP391" s="19"/>
      <c r="AQ391" s="19"/>
      <c r="AR39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9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9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9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9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91" s="19" t="str">
        <f>IFERROR(Table1[[#This Row],[* Practice Efficiency]]*Table1[[#This Row],[* Load Before Treatment (kg/yr)]],"")</f>
        <v/>
      </c>
      <c r="AX391" s="100">
        <v>0</v>
      </c>
      <c r="AY391" s="44" t="s">
        <v>121</v>
      </c>
      <c r="BA391" s="101">
        <v>1</v>
      </c>
      <c r="BB39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91" s="44"/>
      <c r="BD391" s="44"/>
      <c r="BJ391" s="43"/>
      <c r="BK391" s="45"/>
      <c r="BL391" s="45"/>
      <c r="BM39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9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9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9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9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91" s="19" t="str">
        <f>IFERROR(Table1[[#This Row],[* Prior Practice Efficiency]]*Table1[[#This Row],[* Prior Load Before Treatment (kg/year)]],"")</f>
        <v/>
      </c>
      <c r="BT391" s="19"/>
    </row>
    <row r="392" spans="14:72">
      <c r="N392" s="48"/>
      <c r="U392" s="43" t="str">
        <f>IFERROR(VLOOKUP(Table1[[#This Row],[Applicable FRP]],Dropdowns!$C$2:$E$15,3,FALSE),"")</f>
        <v/>
      </c>
      <c r="V392" s="43" t="str">
        <f>IFERROR(VLOOKUP(Table1[[#This Row],[LC TMDL Drainage Area]],Dropdowns!$P$3:$Q$23,2,FALSE),"")</f>
        <v/>
      </c>
      <c r="AN392" s="50"/>
      <c r="AP392" s="19"/>
      <c r="AQ392" s="19"/>
      <c r="AR39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9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9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9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9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92" s="19" t="str">
        <f>IFERROR(Table1[[#This Row],[* Practice Efficiency]]*Table1[[#This Row],[* Load Before Treatment (kg/yr)]],"")</f>
        <v/>
      </c>
      <c r="AX392" s="100">
        <v>0</v>
      </c>
      <c r="AY392" s="44" t="s">
        <v>121</v>
      </c>
      <c r="BA392" s="101">
        <v>1</v>
      </c>
      <c r="BB39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92" s="44"/>
      <c r="BD392" s="44"/>
      <c r="BJ392" s="43"/>
      <c r="BK392" s="45"/>
      <c r="BL392" s="45"/>
      <c r="BM39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9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9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9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9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92" s="19" t="str">
        <f>IFERROR(Table1[[#This Row],[* Prior Practice Efficiency]]*Table1[[#This Row],[* Prior Load Before Treatment (kg/year)]],"")</f>
        <v/>
      </c>
      <c r="BT392" s="19"/>
    </row>
    <row r="393" spans="14:72">
      <c r="N393" s="48"/>
      <c r="U393" s="43" t="str">
        <f>IFERROR(VLOOKUP(Table1[[#This Row],[Applicable FRP]],Dropdowns!$C$2:$E$15,3,FALSE),"")</f>
        <v/>
      </c>
      <c r="V393" s="43" t="str">
        <f>IFERROR(VLOOKUP(Table1[[#This Row],[LC TMDL Drainage Area]],Dropdowns!$P$3:$Q$23,2,FALSE),"")</f>
        <v/>
      </c>
      <c r="AN393" s="50"/>
      <c r="AP393" s="19"/>
      <c r="AQ393" s="19"/>
      <c r="AR39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9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9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9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9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93" s="19" t="str">
        <f>IFERROR(Table1[[#This Row],[* Practice Efficiency]]*Table1[[#This Row],[* Load Before Treatment (kg/yr)]],"")</f>
        <v/>
      </c>
      <c r="AX393" s="100">
        <v>0</v>
      </c>
      <c r="AY393" s="44" t="s">
        <v>121</v>
      </c>
      <c r="BA393" s="101">
        <v>1</v>
      </c>
      <c r="BB39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93" s="44"/>
      <c r="BD393" s="44"/>
      <c r="BJ393" s="43"/>
      <c r="BK393" s="45"/>
      <c r="BL393" s="45"/>
      <c r="BM39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9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9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9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9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93" s="19" t="str">
        <f>IFERROR(Table1[[#This Row],[* Prior Practice Efficiency]]*Table1[[#This Row],[* Prior Load Before Treatment (kg/year)]],"")</f>
        <v/>
      </c>
      <c r="BT393" s="19"/>
    </row>
    <row r="394" spans="14:72">
      <c r="N394" s="48"/>
      <c r="U394" s="43" t="str">
        <f>IFERROR(VLOOKUP(Table1[[#This Row],[Applicable FRP]],Dropdowns!$C$2:$E$15,3,FALSE),"")</f>
        <v/>
      </c>
      <c r="V394" s="43" t="str">
        <f>IFERROR(VLOOKUP(Table1[[#This Row],[LC TMDL Drainage Area]],Dropdowns!$P$3:$Q$23,2,FALSE),"")</f>
        <v/>
      </c>
      <c r="AN394" s="50"/>
      <c r="AP394" s="19"/>
      <c r="AQ394" s="19"/>
      <c r="AR39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9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9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9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9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94" s="19" t="str">
        <f>IFERROR(Table1[[#This Row],[* Practice Efficiency]]*Table1[[#This Row],[* Load Before Treatment (kg/yr)]],"")</f>
        <v/>
      </c>
      <c r="AX394" s="100">
        <v>0</v>
      </c>
      <c r="AY394" s="44" t="s">
        <v>121</v>
      </c>
      <c r="BA394" s="101">
        <v>1</v>
      </c>
      <c r="BB39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94" s="44"/>
      <c r="BD394" s="44"/>
      <c r="BJ394" s="43"/>
      <c r="BK394" s="45"/>
      <c r="BL394" s="45"/>
      <c r="BM39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9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9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9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9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94" s="19" t="str">
        <f>IFERROR(Table1[[#This Row],[* Prior Practice Efficiency]]*Table1[[#This Row],[* Prior Load Before Treatment (kg/year)]],"")</f>
        <v/>
      </c>
      <c r="BT394" s="19"/>
    </row>
    <row r="395" spans="14:72">
      <c r="N395" s="48"/>
      <c r="U395" s="43" t="str">
        <f>IFERROR(VLOOKUP(Table1[[#This Row],[Applicable FRP]],Dropdowns!$C$2:$E$15,3,FALSE),"")</f>
        <v/>
      </c>
      <c r="V395" s="43" t="str">
        <f>IFERROR(VLOOKUP(Table1[[#This Row],[LC TMDL Drainage Area]],Dropdowns!$P$3:$Q$23,2,FALSE),"")</f>
        <v/>
      </c>
      <c r="AN395" s="50"/>
      <c r="AP395" s="19"/>
      <c r="AQ395" s="19"/>
      <c r="AR39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9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9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9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9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95" s="19" t="str">
        <f>IFERROR(Table1[[#This Row],[* Practice Efficiency]]*Table1[[#This Row],[* Load Before Treatment (kg/yr)]],"")</f>
        <v/>
      </c>
      <c r="AX395" s="100">
        <v>0</v>
      </c>
      <c r="AY395" s="44" t="s">
        <v>121</v>
      </c>
      <c r="BA395" s="101">
        <v>1</v>
      </c>
      <c r="BB39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95" s="44"/>
      <c r="BD395" s="44"/>
      <c r="BJ395" s="43"/>
      <c r="BK395" s="45"/>
      <c r="BL395" s="45"/>
      <c r="BM39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9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9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9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9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95" s="19" t="str">
        <f>IFERROR(Table1[[#This Row],[* Prior Practice Efficiency]]*Table1[[#This Row],[* Prior Load Before Treatment (kg/year)]],"")</f>
        <v/>
      </c>
      <c r="BT395" s="19"/>
    </row>
    <row r="396" spans="14:72">
      <c r="N396" s="48"/>
      <c r="U396" s="43" t="str">
        <f>IFERROR(VLOOKUP(Table1[[#This Row],[Applicable FRP]],Dropdowns!$C$2:$E$15,3,FALSE),"")</f>
        <v/>
      </c>
      <c r="V396" s="43" t="str">
        <f>IFERROR(VLOOKUP(Table1[[#This Row],[LC TMDL Drainage Area]],Dropdowns!$P$3:$Q$23,2,FALSE),"")</f>
        <v/>
      </c>
      <c r="AN396" s="50"/>
      <c r="AP396" s="19"/>
      <c r="AQ396" s="19"/>
      <c r="AR39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9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9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9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9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96" s="19" t="str">
        <f>IFERROR(Table1[[#This Row],[* Practice Efficiency]]*Table1[[#This Row],[* Load Before Treatment (kg/yr)]],"")</f>
        <v/>
      </c>
      <c r="AX396" s="100">
        <v>0</v>
      </c>
      <c r="AY396" s="44" t="s">
        <v>121</v>
      </c>
      <c r="BA396" s="101">
        <v>1</v>
      </c>
      <c r="BB39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96" s="44"/>
      <c r="BD396" s="44"/>
      <c r="BJ396" s="43"/>
      <c r="BK396" s="45"/>
      <c r="BL396" s="45"/>
      <c r="BM39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9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9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9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9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96" s="19" t="str">
        <f>IFERROR(Table1[[#This Row],[* Prior Practice Efficiency]]*Table1[[#This Row],[* Prior Load Before Treatment (kg/year)]],"")</f>
        <v/>
      </c>
      <c r="BT396" s="19"/>
    </row>
    <row r="397" spans="14:72">
      <c r="N397" s="48"/>
      <c r="U397" s="43" t="str">
        <f>IFERROR(VLOOKUP(Table1[[#This Row],[Applicable FRP]],Dropdowns!$C$2:$E$15,3,FALSE),"")</f>
        <v/>
      </c>
      <c r="V397" s="43" t="str">
        <f>IFERROR(VLOOKUP(Table1[[#This Row],[LC TMDL Drainage Area]],Dropdowns!$P$3:$Q$23,2,FALSE),"")</f>
        <v/>
      </c>
      <c r="AN397" s="50"/>
      <c r="AP397" s="19"/>
      <c r="AQ397" s="19"/>
      <c r="AR39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9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9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9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9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97" s="19" t="str">
        <f>IFERROR(Table1[[#This Row],[* Practice Efficiency]]*Table1[[#This Row],[* Load Before Treatment (kg/yr)]],"")</f>
        <v/>
      </c>
      <c r="AX397" s="100">
        <v>0</v>
      </c>
      <c r="AY397" s="44" t="s">
        <v>121</v>
      </c>
      <c r="BA397" s="101">
        <v>1</v>
      </c>
      <c r="BB39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97" s="44"/>
      <c r="BD397" s="44"/>
      <c r="BJ397" s="43"/>
      <c r="BK397" s="45"/>
      <c r="BL397" s="45"/>
      <c r="BM39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9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9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9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9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97" s="19" t="str">
        <f>IFERROR(Table1[[#This Row],[* Prior Practice Efficiency]]*Table1[[#This Row],[* Prior Load Before Treatment (kg/year)]],"")</f>
        <v/>
      </c>
      <c r="BT397" s="19"/>
    </row>
    <row r="398" spans="14:72">
      <c r="N398" s="48"/>
      <c r="U398" s="43" t="str">
        <f>IFERROR(VLOOKUP(Table1[[#This Row],[Applicable FRP]],Dropdowns!$C$2:$E$15,3,FALSE),"")</f>
        <v/>
      </c>
      <c r="V398" s="43" t="str">
        <f>IFERROR(VLOOKUP(Table1[[#This Row],[LC TMDL Drainage Area]],Dropdowns!$P$3:$Q$23,2,FALSE),"")</f>
        <v/>
      </c>
      <c r="AN398" s="50"/>
      <c r="AP398" s="19"/>
      <c r="AQ398" s="19"/>
      <c r="AR39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9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9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9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9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98" s="19" t="str">
        <f>IFERROR(Table1[[#This Row],[* Practice Efficiency]]*Table1[[#This Row],[* Load Before Treatment (kg/yr)]],"")</f>
        <v/>
      </c>
      <c r="AX398" s="100">
        <v>0</v>
      </c>
      <c r="AY398" s="44" t="s">
        <v>121</v>
      </c>
      <c r="BA398" s="101">
        <v>1</v>
      </c>
      <c r="BB39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98" s="44"/>
      <c r="BD398" s="44"/>
      <c r="BJ398" s="43"/>
      <c r="BK398" s="45"/>
      <c r="BL398" s="45"/>
      <c r="BM39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9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9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9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9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98" s="19" t="str">
        <f>IFERROR(Table1[[#This Row],[* Prior Practice Efficiency]]*Table1[[#This Row],[* Prior Load Before Treatment (kg/year)]],"")</f>
        <v/>
      </c>
      <c r="BT398" s="19"/>
    </row>
    <row r="399" spans="14:72">
      <c r="N399" s="48"/>
      <c r="U399" s="43" t="str">
        <f>IFERROR(VLOOKUP(Table1[[#This Row],[Applicable FRP]],Dropdowns!$C$2:$E$15,3,FALSE),"")</f>
        <v/>
      </c>
      <c r="V399" s="43" t="str">
        <f>IFERROR(VLOOKUP(Table1[[#This Row],[LC TMDL Drainage Area]],Dropdowns!$P$3:$Q$23,2,FALSE),"")</f>
        <v/>
      </c>
      <c r="AN399" s="50"/>
      <c r="AP399" s="19"/>
      <c r="AQ399" s="19"/>
      <c r="AR39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39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39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39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39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399" s="19" t="str">
        <f>IFERROR(Table1[[#This Row],[* Practice Efficiency]]*Table1[[#This Row],[* Load Before Treatment (kg/yr)]],"")</f>
        <v/>
      </c>
      <c r="AX399" s="100">
        <v>0</v>
      </c>
      <c r="AY399" s="44" t="s">
        <v>121</v>
      </c>
      <c r="BA399" s="101">
        <v>1</v>
      </c>
      <c r="BB39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399" s="44"/>
      <c r="BD399" s="44"/>
      <c r="BJ399" s="43"/>
      <c r="BK399" s="45"/>
      <c r="BL399" s="45"/>
      <c r="BM39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39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39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39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39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399" s="19" t="str">
        <f>IFERROR(Table1[[#This Row],[* Prior Practice Efficiency]]*Table1[[#This Row],[* Prior Load Before Treatment (kg/year)]],"")</f>
        <v/>
      </c>
      <c r="BT399" s="19"/>
    </row>
    <row r="400" spans="14:72">
      <c r="N400" s="48"/>
      <c r="U400" s="43" t="str">
        <f>IFERROR(VLOOKUP(Table1[[#This Row],[Applicable FRP]],Dropdowns!$C$2:$E$15,3,FALSE),"")</f>
        <v/>
      </c>
      <c r="V400" s="43" t="str">
        <f>IFERROR(VLOOKUP(Table1[[#This Row],[LC TMDL Drainage Area]],Dropdowns!$P$3:$Q$23,2,FALSE),"")</f>
        <v/>
      </c>
      <c r="AN400" s="50"/>
      <c r="AP400" s="19"/>
      <c r="AQ400" s="19"/>
      <c r="AR40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0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0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0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0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00" s="19" t="str">
        <f>IFERROR(Table1[[#This Row],[* Practice Efficiency]]*Table1[[#This Row],[* Load Before Treatment (kg/yr)]],"")</f>
        <v/>
      </c>
      <c r="AX400" s="100">
        <v>0</v>
      </c>
      <c r="AY400" s="44" t="s">
        <v>121</v>
      </c>
      <c r="BA400" s="101">
        <v>1</v>
      </c>
      <c r="BB40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00" s="44"/>
      <c r="BD400" s="44"/>
      <c r="BJ400" s="43"/>
      <c r="BK400" s="45"/>
      <c r="BL400" s="45"/>
      <c r="BM40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0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0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0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0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00" s="19" t="str">
        <f>IFERROR(Table1[[#This Row],[* Prior Practice Efficiency]]*Table1[[#This Row],[* Prior Load Before Treatment (kg/year)]],"")</f>
        <v/>
      </c>
      <c r="BT400" s="19"/>
    </row>
    <row r="401" spans="14:72">
      <c r="N401" s="48"/>
      <c r="U401" s="43" t="str">
        <f>IFERROR(VLOOKUP(Table1[[#This Row],[Applicable FRP]],Dropdowns!$C$2:$E$15,3,FALSE),"")</f>
        <v/>
      </c>
      <c r="V401" s="43" t="str">
        <f>IFERROR(VLOOKUP(Table1[[#This Row],[LC TMDL Drainage Area]],Dropdowns!$P$3:$Q$23,2,FALSE),"")</f>
        <v/>
      </c>
      <c r="AN401" s="50"/>
      <c r="AP401" s="19"/>
      <c r="AQ401" s="19"/>
      <c r="AR40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0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0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0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0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01" s="19" t="str">
        <f>IFERROR(Table1[[#This Row],[* Practice Efficiency]]*Table1[[#This Row],[* Load Before Treatment (kg/yr)]],"")</f>
        <v/>
      </c>
      <c r="AX401" s="100">
        <v>0</v>
      </c>
      <c r="AY401" s="44" t="s">
        <v>121</v>
      </c>
      <c r="BA401" s="101">
        <v>1</v>
      </c>
      <c r="BB40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01" s="44"/>
      <c r="BD401" s="44"/>
      <c r="BJ401" s="43"/>
      <c r="BK401" s="45"/>
      <c r="BL401" s="45"/>
      <c r="BM40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0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0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0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0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01" s="19" t="str">
        <f>IFERROR(Table1[[#This Row],[* Prior Practice Efficiency]]*Table1[[#This Row],[* Prior Load Before Treatment (kg/year)]],"")</f>
        <v/>
      </c>
      <c r="BT401" s="19"/>
    </row>
    <row r="402" spans="14:72">
      <c r="N402" s="48"/>
      <c r="U402" s="43" t="str">
        <f>IFERROR(VLOOKUP(Table1[[#This Row],[Applicable FRP]],Dropdowns!$C$2:$E$15,3,FALSE),"")</f>
        <v/>
      </c>
      <c r="V402" s="43" t="str">
        <f>IFERROR(VLOOKUP(Table1[[#This Row],[LC TMDL Drainage Area]],Dropdowns!$P$3:$Q$23,2,FALSE),"")</f>
        <v/>
      </c>
      <c r="AN402" s="50"/>
      <c r="AP402" s="19"/>
      <c r="AQ402" s="19"/>
      <c r="AR40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0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0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0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0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02" s="19" t="str">
        <f>IFERROR(Table1[[#This Row],[* Practice Efficiency]]*Table1[[#This Row],[* Load Before Treatment (kg/yr)]],"")</f>
        <v/>
      </c>
      <c r="AX402" s="100">
        <v>0</v>
      </c>
      <c r="AY402" s="44" t="s">
        <v>121</v>
      </c>
      <c r="BA402" s="101">
        <v>1</v>
      </c>
      <c r="BB40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02" s="44"/>
      <c r="BD402" s="44"/>
      <c r="BJ402" s="43"/>
      <c r="BK402" s="45"/>
      <c r="BL402" s="45"/>
      <c r="BM40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0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0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0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0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02" s="19" t="str">
        <f>IFERROR(Table1[[#This Row],[* Prior Practice Efficiency]]*Table1[[#This Row],[* Prior Load Before Treatment (kg/year)]],"")</f>
        <v/>
      </c>
      <c r="BT402" s="19"/>
    </row>
    <row r="403" spans="14:72">
      <c r="N403" s="48"/>
      <c r="U403" s="43" t="str">
        <f>IFERROR(VLOOKUP(Table1[[#This Row],[Applicable FRP]],Dropdowns!$C$2:$E$15,3,FALSE),"")</f>
        <v/>
      </c>
      <c r="V403" s="43" t="str">
        <f>IFERROR(VLOOKUP(Table1[[#This Row],[LC TMDL Drainage Area]],Dropdowns!$P$3:$Q$23,2,FALSE),"")</f>
        <v/>
      </c>
      <c r="AN403" s="50"/>
      <c r="AP403" s="19"/>
      <c r="AQ403" s="19"/>
      <c r="AR40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0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0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0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0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03" s="19" t="str">
        <f>IFERROR(Table1[[#This Row],[* Practice Efficiency]]*Table1[[#This Row],[* Load Before Treatment (kg/yr)]],"")</f>
        <v/>
      </c>
      <c r="AX403" s="100">
        <v>0</v>
      </c>
      <c r="AY403" s="44" t="s">
        <v>121</v>
      </c>
      <c r="BA403" s="101">
        <v>1</v>
      </c>
      <c r="BB40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03" s="44"/>
      <c r="BD403" s="44"/>
      <c r="BJ403" s="43"/>
      <c r="BK403" s="45"/>
      <c r="BL403" s="45"/>
      <c r="BM40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0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0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0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0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03" s="19" t="str">
        <f>IFERROR(Table1[[#This Row],[* Prior Practice Efficiency]]*Table1[[#This Row],[* Prior Load Before Treatment (kg/year)]],"")</f>
        <v/>
      </c>
      <c r="BT403" s="19"/>
    </row>
    <row r="404" spans="14:72">
      <c r="N404" s="48"/>
      <c r="U404" s="43" t="str">
        <f>IFERROR(VLOOKUP(Table1[[#This Row],[Applicable FRP]],Dropdowns!$C$2:$E$15,3,FALSE),"")</f>
        <v/>
      </c>
      <c r="V404" s="43" t="str">
        <f>IFERROR(VLOOKUP(Table1[[#This Row],[LC TMDL Drainage Area]],Dropdowns!$P$3:$Q$23,2,FALSE),"")</f>
        <v/>
      </c>
      <c r="AN404" s="50"/>
      <c r="AP404" s="19"/>
      <c r="AQ404" s="19"/>
      <c r="AR40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0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0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0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0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04" s="19" t="str">
        <f>IFERROR(Table1[[#This Row],[* Practice Efficiency]]*Table1[[#This Row],[* Load Before Treatment (kg/yr)]],"")</f>
        <v/>
      </c>
      <c r="AX404" s="100">
        <v>0</v>
      </c>
      <c r="AY404" s="44" t="s">
        <v>121</v>
      </c>
      <c r="BA404" s="101">
        <v>1</v>
      </c>
      <c r="BB40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04" s="44"/>
      <c r="BD404" s="44"/>
      <c r="BJ404" s="43"/>
      <c r="BK404" s="45"/>
      <c r="BL404" s="45"/>
      <c r="BM40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0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0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0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0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04" s="19" t="str">
        <f>IFERROR(Table1[[#This Row],[* Prior Practice Efficiency]]*Table1[[#This Row],[* Prior Load Before Treatment (kg/year)]],"")</f>
        <v/>
      </c>
      <c r="BT404" s="19"/>
    </row>
    <row r="405" spans="14:72">
      <c r="N405" s="48"/>
      <c r="U405" s="43" t="str">
        <f>IFERROR(VLOOKUP(Table1[[#This Row],[Applicable FRP]],Dropdowns!$C$2:$E$15,3,FALSE),"")</f>
        <v/>
      </c>
      <c r="V405" s="43" t="str">
        <f>IFERROR(VLOOKUP(Table1[[#This Row],[LC TMDL Drainage Area]],Dropdowns!$P$3:$Q$23,2,FALSE),"")</f>
        <v/>
      </c>
      <c r="AN405" s="50"/>
      <c r="AP405" s="19"/>
      <c r="AQ405" s="19"/>
      <c r="AR40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0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0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0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0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05" s="19" t="str">
        <f>IFERROR(Table1[[#This Row],[* Practice Efficiency]]*Table1[[#This Row],[* Load Before Treatment (kg/yr)]],"")</f>
        <v/>
      </c>
      <c r="AX405" s="100">
        <v>0</v>
      </c>
      <c r="AY405" s="44" t="s">
        <v>121</v>
      </c>
      <c r="BA405" s="101">
        <v>1</v>
      </c>
      <c r="BB40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05" s="44"/>
      <c r="BD405" s="44"/>
      <c r="BJ405" s="43"/>
      <c r="BK405" s="45"/>
      <c r="BL405" s="45"/>
      <c r="BM40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0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0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0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0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05" s="19" t="str">
        <f>IFERROR(Table1[[#This Row],[* Prior Practice Efficiency]]*Table1[[#This Row],[* Prior Load Before Treatment (kg/year)]],"")</f>
        <v/>
      </c>
      <c r="BT405" s="19"/>
    </row>
    <row r="406" spans="14:72">
      <c r="N406" s="48"/>
      <c r="U406" s="43" t="str">
        <f>IFERROR(VLOOKUP(Table1[[#This Row],[Applicable FRP]],Dropdowns!$C$2:$E$15,3,FALSE),"")</f>
        <v/>
      </c>
      <c r="V406" s="43" t="str">
        <f>IFERROR(VLOOKUP(Table1[[#This Row],[LC TMDL Drainage Area]],Dropdowns!$P$3:$Q$23,2,FALSE),"")</f>
        <v/>
      </c>
      <c r="AN406" s="50"/>
      <c r="AP406" s="19"/>
      <c r="AQ406" s="19"/>
      <c r="AR40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0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0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0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0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06" s="19" t="str">
        <f>IFERROR(Table1[[#This Row],[* Practice Efficiency]]*Table1[[#This Row],[* Load Before Treatment (kg/yr)]],"")</f>
        <v/>
      </c>
      <c r="AX406" s="100">
        <v>0</v>
      </c>
      <c r="AY406" s="44" t="s">
        <v>121</v>
      </c>
      <c r="BA406" s="101">
        <v>1</v>
      </c>
      <c r="BB40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06" s="44"/>
      <c r="BD406" s="44"/>
      <c r="BJ406" s="43"/>
      <c r="BK406" s="45"/>
      <c r="BL406" s="45"/>
      <c r="BM40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0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0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0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0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06" s="19" t="str">
        <f>IFERROR(Table1[[#This Row],[* Prior Practice Efficiency]]*Table1[[#This Row],[* Prior Load Before Treatment (kg/year)]],"")</f>
        <v/>
      </c>
      <c r="BT406" s="19"/>
    </row>
    <row r="407" spans="14:72">
      <c r="N407" s="48"/>
      <c r="U407" s="43" t="str">
        <f>IFERROR(VLOOKUP(Table1[[#This Row],[Applicable FRP]],Dropdowns!$C$2:$E$15,3,FALSE),"")</f>
        <v/>
      </c>
      <c r="V407" s="43" t="str">
        <f>IFERROR(VLOOKUP(Table1[[#This Row],[LC TMDL Drainage Area]],Dropdowns!$P$3:$Q$23,2,FALSE),"")</f>
        <v/>
      </c>
      <c r="AN407" s="50"/>
      <c r="AP407" s="19"/>
      <c r="AQ407" s="19"/>
      <c r="AR40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0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0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0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0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07" s="19" t="str">
        <f>IFERROR(Table1[[#This Row],[* Practice Efficiency]]*Table1[[#This Row],[* Load Before Treatment (kg/yr)]],"")</f>
        <v/>
      </c>
      <c r="AX407" s="100">
        <v>0</v>
      </c>
      <c r="AY407" s="44" t="s">
        <v>121</v>
      </c>
      <c r="BA407" s="101">
        <v>1</v>
      </c>
      <c r="BB40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07" s="44"/>
      <c r="BD407" s="44"/>
      <c r="BJ407" s="43"/>
      <c r="BK407" s="45"/>
      <c r="BL407" s="45"/>
      <c r="BM40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0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0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0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0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07" s="19" t="str">
        <f>IFERROR(Table1[[#This Row],[* Prior Practice Efficiency]]*Table1[[#This Row],[* Prior Load Before Treatment (kg/year)]],"")</f>
        <v/>
      </c>
      <c r="BT407" s="19"/>
    </row>
    <row r="408" spans="14:72">
      <c r="N408" s="48"/>
      <c r="U408" s="43" t="str">
        <f>IFERROR(VLOOKUP(Table1[[#This Row],[Applicable FRP]],Dropdowns!$C$2:$E$15,3,FALSE),"")</f>
        <v/>
      </c>
      <c r="V408" s="43" t="str">
        <f>IFERROR(VLOOKUP(Table1[[#This Row],[LC TMDL Drainage Area]],Dropdowns!$P$3:$Q$23,2,FALSE),"")</f>
        <v/>
      </c>
      <c r="AN408" s="50"/>
      <c r="AP408" s="19"/>
      <c r="AQ408" s="19"/>
      <c r="AR40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0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0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0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0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08" s="19" t="str">
        <f>IFERROR(Table1[[#This Row],[* Practice Efficiency]]*Table1[[#This Row],[* Load Before Treatment (kg/yr)]],"")</f>
        <v/>
      </c>
      <c r="AX408" s="100">
        <v>0</v>
      </c>
      <c r="AY408" s="44" t="s">
        <v>121</v>
      </c>
      <c r="BA408" s="101">
        <v>1</v>
      </c>
      <c r="BB40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08" s="44"/>
      <c r="BD408" s="44"/>
      <c r="BJ408" s="43"/>
      <c r="BK408" s="45"/>
      <c r="BL408" s="45"/>
      <c r="BM40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0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0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0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0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08" s="19" t="str">
        <f>IFERROR(Table1[[#This Row],[* Prior Practice Efficiency]]*Table1[[#This Row],[* Prior Load Before Treatment (kg/year)]],"")</f>
        <v/>
      </c>
      <c r="BT408" s="19"/>
    </row>
    <row r="409" spans="14:72">
      <c r="N409" s="48"/>
      <c r="U409" s="43" t="str">
        <f>IFERROR(VLOOKUP(Table1[[#This Row],[Applicable FRP]],Dropdowns!$C$2:$E$15,3,FALSE),"")</f>
        <v/>
      </c>
      <c r="V409" s="43" t="str">
        <f>IFERROR(VLOOKUP(Table1[[#This Row],[LC TMDL Drainage Area]],Dropdowns!$P$3:$Q$23,2,FALSE),"")</f>
        <v/>
      </c>
      <c r="AN409" s="50"/>
      <c r="AP409" s="19"/>
      <c r="AQ409" s="19"/>
      <c r="AR40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0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0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0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0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09" s="19" t="str">
        <f>IFERROR(Table1[[#This Row],[* Practice Efficiency]]*Table1[[#This Row],[* Load Before Treatment (kg/yr)]],"")</f>
        <v/>
      </c>
      <c r="AX409" s="100">
        <v>0</v>
      </c>
      <c r="AY409" s="44" t="s">
        <v>121</v>
      </c>
      <c r="BA409" s="101">
        <v>1</v>
      </c>
      <c r="BB40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09" s="44"/>
      <c r="BD409" s="44"/>
      <c r="BJ409" s="43"/>
      <c r="BK409" s="45"/>
      <c r="BL409" s="45"/>
      <c r="BM40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0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0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0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0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09" s="19" t="str">
        <f>IFERROR(Table1[[#This Row],[* Prior Practice Efficiency]]*Table1[[#This Row],[* Prior Load Before Treatment (kg/year)]],"")</f>
        <v/>
      </c>
      <c r="BT409" s="19"/>
    </row>
    <row r="410" spans="14:72">
      <c r="N410" s="48"/>
      <c r="U410" s="43" t="str">
        <f>IFERROR(VLOOKUP(Table1[[#This Row],[Applicable FRP]],Dropdowns!$C$2:$E$15,3,FALSE),"")</f>
        <v/>
      </c>
      <c r="V410" s="43" t="str">
        <f>IFERROR(VLOOKUP(Table1[[#This Row],[LC TMDL Drainage Area]],Dropdowns!$P$3:$Q$23,2,FALSE),"")</f>
        <v/>
      </c>
      <c r="AN410" s="50"/>
      <c r="AP410" s="19"/>
      <c r="AQ410" s="19"/>
      <c r="AR41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1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1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1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1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10" s="19" t="str">
        <f>IFERROR(Table1[[#This Row],[* Practice Efficiency]]*Table1[[#This Row],[* Load Before Treatment (kg/yr)]],"")</f>
        <v/>
      </c>
      <c r="AX410" s="100">
        <v>0</v>
      </c>
      <c r="AY410" s="44" t="s">
        <v>121</v>
      </c>
      <c r="BA410" s="101">
        <v>1</v>
      </c>
      <c r="BB41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10" s="44"/>
      <c r="BD410" s="44"/>
      <c r="BJ410" s="43"/>
      <c r="BK410" s="45"/>
      <c r="BL410" s="45"/>
      <c r="BM41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1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1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1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1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10" s="19" t="str">
        <f>IFERROR(Table1[[#This Row],[* Prior Practice Efficiency]]*Table1[[#This Row],[* Prior Load Before Treatment (kg/year)]],"")</f>
        <v/>
      </c>
      <c r="BT410" s="19"/>
    </row>
    <row r="411" spans="14:72">
      <c r="N411" s="48"/>
      <c r="U411" s="43" t="str">
        <f>IFERROR(VLOOKUP(Table1[[#This Row],[Applicable FRP]],Dropdowns!$C$2:$E$15,3,FALSE),"")</f>
        <v/>
      </c>
      <c r="V411" s="43" t="str">
        <f>IFERROR(VLOOKUP(Table1[[#This Row],[LC TMDL Drainage Area]],Dropdowns!$P$3:$Q$23,2,FALSE),"")</f>
        <v/>
      </c>
      <c r="AN411" s="50"/>
      <c r="AP411" s="19"/>
      <c r="AQ411" s="19"/>
      <c r="AR41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1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1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1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1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11" s="19" t="str">
        <f>IFERROR(Table1[[#This Row],[* Practice Efficiency]]*Table1[[#This Row],[* Load Before Treatment (kg/yr)]],"")</f>
        <v/>
      </c>
      <c r="AX411" s="100">
        <v>0</v>
      </c>
      <c r="AY411" s="44" t="s">
        <v>121</v>
      </c>
      <c r="BA411" s="101">
        <v>1</v>
      </c>
      <c r="BB41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11" s="44"/>
      <c r="BD411" s="44"/>
      <c r="BJ411" s="43"/>
      <c r="BK411" s="45"/>
      <c r="BL411" s="45"/>
      <c r="BM41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1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1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1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1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11" s="19" t="str">
        <f>IFERROR(Table1[[#This Row],[* Prior Practice Efficiency]]*Table1[[#This Row],[* Prior Load Before Treatment (kg/year)]],"")</f>
        <v/>
      </c>
      <c r="BT411" s="19"/>
    </row>
    <row r="412" spans="14:72">
      <c r="N412" s="48"/>
      <c r="U412" s="43" t="str">
        <f>IFERROR(VLOOKUP(Table1[[#This Row],[Applicable FRP]],Dropdowns!$C$2:$E$15,3,FALSE),"")</f>
        <v/>
      </c>
      <c r="V412" s="43" t="str">
        <f>IFERROR(VLOOKUP(Table1[[#This Row],[LC TMDL Drainage Area]],Dropdowns!$P$3:$Q$23,2,FALSE),"")</f>
        <v/>
      </c>
      <c r="AN412" s="50"/>
      <c r="AP412" s="19"/>
      <c r="AQ412" s="19"/>
      <c r="AR41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1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1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1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1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12" s="19" t="str">
        <f>IFERROR(Table1[[#This Row],[* Practice Efficiency]]*Table1[[#This Row],[* Load Before Treatment (kg/yr)]],"")</f>
        <v/>
      </c>
      <c r="AX412" s="100">
        <v>0</v>
      </c>
      <c r="AY412" s="44" t="s">
        <v>121</v>
      </c>
      <c r="BA412" s="101">
        <v>1</v>
      </c>
      <c r="BB41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12" s="44"/>
      <c r="BD412" s="44"/>
      <c r="BJ412" s="43"/>
      <c r="BK412" s="45"/>
      <c r="BL412" s="45"/>
      <c r="BM41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1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1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1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1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12" s="19" t="str">
        <f>IFERROR(Table1[[#This Row],[* Prior Practice Efficiency]]*Table1[[#This Row],[* Prior Load Before Treatment (kg/year)]],"")</f>
        <v/>
      </c>
      <c r="BT412" s="19"/>
    </row>
    <row r="413" spans="14:72">
      <c r="N413" s="48"/>
      <c r="U413" s="43" t="str">
        <f>IFERROR(VLOOKUP(Table1[[#This Row],[Applicable FRP]],Dropdowns!$C$2:$E$15,3,FALSE),"")</f>
        <v/>
      </c>
      <c r="V413" s="43" t="str">
        <f>IFERROR(VLOOKUP(Table1[[#This Row],[LC TMDL Drainage Area]],Dropdowns!$P$3:$Q$23,2,FALSE),"")</f>
        <v/>
      </c>
      <c r="AN413" s="50"/>
      <c r="AP413" s="19"/>
      <c r="AQ413" s="19"/>
      <c r="AR41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1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1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1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1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13" s="19" t="str">
        <f>IFERROR(Table1[[#This Row],[* Practice Efficiency]]*Table1[[#This Row],[* Load Before Treatment (kg/yr)]],"")</f>
        <v/>
      </c>
      <c r="AX413" s="100">
        <v>0</v>
      </c>
      <c r="AY413" s="44" t="s">
        <v>121</v>
      </c>
      <c r="BA413" s="101">
        <v>1</v>
      </c>
      <c r="BB41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13" s="44"/>
      <c r="BD413" s="44"/>
      <c r="BJ413" s="43"/>
      <c r="BK413" s="45"/>
      <c r="BL413" s="45"/>
      <c r="BM41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1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1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1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1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13" s="19" t="str">
        <f>IFERROR(Table1[[#This Row],[* Prior Practice Efficiency]]*Table1[[#This Row],[* Prior Load Before Treatment (kg/year)]],"")</f>
        <v/>
      </c>
      <c r="BT413" s="19"/>
    </row>
    <row r="414" spans="14:72">
      <c r="N414" s="48"/>
      <c r="U414" s="43" t="str">
        <f>IFERROR(VLOOKUP(Table1[[#This Row],[Applicable FRP]],Dropdowns!$C$2:$E$15,3,FALSE),"")</f>
        <v/>
      </c>
      <c r="V414" s="43" t="str">
        <f>IFERROR(VLOOKUP(Table1[[#This Row],[LC TMDL Drainage Area]],Dropdowns!$P$3:$Q$23,2,FALSE),"")</f>
        <v/>
      </c>
      <c r="AN414" s="50"/>
      <c r="AP414" s="19"/>
      <c r="AQ414" s="19"/>
      <c r="AR41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1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1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1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1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14" s="19" t="str">
        <f>IFERROR(Table1[[#This Row],[* Practice Efficiency]]*Table1[[#This Row],[* Load Before Treatment (kg/yr)]],"")</f>
        <v/>
      </c>
      <c r="AX414" s="100">
        <v>0</v>
      </c>
      <c r="AY414" s="44" t="s">
        <v>121</v>
      </c>
      <c r="BA414" s="101">
        <v>1</v>
      </c>
      <c r="BB41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14" s="44"/>
      <c r="BD414" s="44"/>
      <c r="BJ414" s="43"/>
      <c r="BK414" s="45"/>
      <c r="BL414" s="45"/>
      <c r="BM41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1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1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1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1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14" s="19" t="str">
        <f>IFERROR(Table1[[#This Row],[* Prior Practice Efficiency]]*Table1[[#This Row],[* Prior Load Before Treatment (kg/year)]],"")</f>
        <v/>
      </c>
      <c r="BT414" s="19"/>
    </row>
    <row r="415" spans="14:72">
      <c r="N415" s="48"/>
      <c r="U415" s="43" t="str">
        <f>IFERROR(VLOOKUP(Table1[[#This Row],[Applicable FRP]],Dropdowns!$C$2:$E$15,3,FALSE),"")</f>
        <v/>
      </c>
      <c r="V415" s="43" t="str">
        <f>IFERROR(VLOOKUP(Table1[[#This Row],[LC TMDL Drainage Area]],Dropdowns!$P$3:$Q$23,2,FALSE),"")</f>
        <v/>
      </c>
      <c r="AN415" s="50"/>
      <c r="AP415" s="19"/>
      <c r="AQ415" s="19"/>
      <c r="AR415"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15"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15"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1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1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15" s="19" t="str">
        <f>IFERROR(Table1[[#This Row],[* Practice Efficiency]]*Table1[[#This Row],[* Load Before Treatment (kg/yr)]],"")</f>
        <v/>
      </c>
      <c r="AX415" s="100">
        <v>0</v>
      </c>
      <c r="AY415" s="44" t="s">
        <v>121</v>
      </c>
      <c r="BA415" s="101">
        <v>1</v>
      </c>
      <c r="BB41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15" s="44"/>
      <c r="BD415" s="44"/>
      <c r="BJ415" s="43"/>
      <c r="BK415" s="45"/>
      <c r="BL415" s="45"/>
      <c r="BM41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1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1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1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1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15" s="19" t="str">
        <f>IFERROR(Table1[[#This Row],[* Prior Practice Efficiency]]*Table1[[#This Row],[* Prior Load Before Treatment (kg/year)]],"")</f>
        <v/>
      </c>
      <c r="BT415" s="19"/>
    </row>
    <row r="416" spans="14:72">
      <c r="N416" s="48"/>
      <c r="U416" s="43" t="str">
        <f>IFERROR(VLOOKUP(Table1[[#This Row],[Applicable FRP]],Dropdowns!$C$2:$E$15,3,FALSE),"")</f>
        <v/>
      </c>
      <c r="V416" s="43" t="str">
        <f>IFERROR(VLOOKUP(Table1[[#This Row],[LC TMDL Drainage Area]],Dropdowns!$P$3:$Q$23,2,FALSE),"")</f>
        <v/>
      </c>
      <c r="AN416" s="50"/>
      <c r="AP416" s="19"/>
      <c r="AQ416" s="19"/>
      <c r="AR416"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16"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16"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1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1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16" s="19" t="str">
        <f>IFERROR(Table1[[#This Row],[* Practice Efficiency]]*Table1[[#This Row],[* Load Before Treatment (kg/yr)]],"")</f>
        <v/>
      </c>
      <c r="AX416" s="100">
        <v>0</v>
      </c>
      <c r="AY416" s="44" t="s">
        <v>121</v>
      </c>
      <c r="BA416" s="101">
        <v>1</v>
      </c>
      <c r="BB41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16" s="44"/>
      <c r="BD416" s="44"/>
      <c r="BJ416" s="43"/>
      <c r="BK416" s="45"/>
      <c r="BL416" s="45"/>
      <c r="BM41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1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1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1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1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16" s="19" t="str">
        <f>IFERROR(Table1[[#This Row],[* Prior Practice Efficiency]]*Table1[[#This Row],[* Prior Load Before Treatment (kg/year)]],"")</f>
        <v/>
      </c>
      <c r="BT416" s="19"/>
    </row>
    <row r="417" spans="14:72">
      <c r="N417" s="48"/>
      <c r="U417" s="43" t="str">
        <f>IFERROR(VLOOKUP(Table1[[#This Row],[Applicable FRP]],Dropdowns!$C$2:$E$15,3,FALSE),"")</f>
        <v/>
      </c>
      <c r="V417" s="43" t="str">
        <f>IFERROR(VLOOKUP(Table1[[#This Row],[LC TMDL Drainage Area]],Dropdowns!$P$3:$Q$23,2,FALSE),"")</f>
        <v/>
      </c>
      <c r="AN417" s="50"/>
      <c r="AP417" s="19"/>
      <c r="AQ417" s="19"/>
      <c r="AR417"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17"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17"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1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1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17" s="19" t="str">
        <f>IFERROR(Table1[[#This Row],[* Practice Efficiency]]*Table1[[#This Row],[* Load Before Treatment (kg/yr)]],"")</f>
        <v/>
      </c>
      <c r="AX417" s="100">
        <v>0</v>
      </c>
      <c r="AY417" s="44" t="s">
        <v>121</v>
      </c>
      <c r="BA417" s="101">
        <v>1</v>
      </c>
      <c r="BB41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17" s="44"/>
      <c r="BD417" s="44"/>
      <c r="BJ417" s="43"/>
      <c r="BK417" s="45"/>
      <c r="BL417" s="45"/>
      <c r="BM41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1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1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1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1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17" s="19" t="str">
        <f>IFERROR(Table1[[#This Row],[* Prior Practice Efficiency]]*Table1[[#This Row],[* Prior Load Before Treatment (kg/year)]],"")</f>
        <v/>
      </c>
      <c r="BT417" s="19"/>
    </row>
    <row r="418" spans="14:72">
      <c r="N418" s="48"/>
      <c r="U418" s="43" t="str">
        <f>IFERROR(VLOOKUP(Table1[[#This Row],[Applicable FRP]],Dropdowns!$C$2:$E$15,3,FALSE),"")</f>
        <v/>
      </c>
      <c r="V418" s="43" t="str">
        <f>IFERROR(VLOOKUP(Table1[[#This Row],[LC TMDL Drainage Area]],Dropdowns!$P$3:$Q$23,2,FALSE),"")</f>
        <v/>
      </c>
      <c r="AN418" s="50"/>
      <c r="AP418" s="19"/>
      <c r="AQ418" s="19"/>
      <c r="AR418"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18"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18"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1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1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18" s="19" t="str">
        <f>IFERROR(Table1[[#This Row],[* Practice Efficiency]]*Table1[[#This Row],[* Load Before Treatment (kg/yr)]],"")</f>
        <v/>
      </c>
      <c r="AX418" s="100">
        <v>0</v>
      </c>
      <c r="AY418" s="44" t="s">
        <v>121</v>
      </c>
      <c r="BA418" s="101">
        <v>1</v>
      </c>
      <c r="BB41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18" s="44"/>
      <c r="BD418" s="44"/>
      <c r="BJ418" s="43"/>
      <c r="BK418" s="45"/>
      <c r="BL418" s="45"/>
      <c r="BM41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1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1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1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1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18" s="19" t="str">
        <f>IFERROR(Table1[[#This Row],[* Prior Practice Efficiency]]*Table1[[#This Row],[* Prior Load Before Treatment (kg/year)]],"")</f>
        <v/>
      </c>
      <c r="BT418" s="19"/>
    </row>
    <row r="419" spans="14:72">
      <c r="N419" s="48"/>
      <c r="U419" s="43" t="str">
        <f>IFERROR(VLOOKUP(Table1[[#This Row],[Applicable FRP]],Dropdowns!$C$2:$E$15,3,FALSE),"")</f>
        <v/>
      </c>
      <c r="V419" s="43" t="str">
        <f>IFERROR(VLOOKUP(Table1[[#This Row],[LC TMDL Drainage Area]],Dropdowns!$P$3:$Q$23,2,FALSE),"")</f>
        <v/>
      </c>
      <c r="AN419" s="50"/>
      <c r="AP419" s="19"/>
      <c r="AQ419" s="19"/>
      <c r="AR419"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19"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19"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1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1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19" s="19" t="str">
        <f>IFERROR(Table1[[#This Row],[* Practice Efficiency]]*Table1[[#This Row],[* Load Before Treatment (kg/yr)]],"")</f>
        <v/>
      </c>
      <c r="AX419" s="100">
        <v>0</v>
      </c>
      <c r="AY419" s="44" t="s">
        <v>121</v>
      </c>
      <c r="BA419" s="101">
        <v>1</v>
      </c>
      <c r="BB41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19" s="44"/>
      <c r="BD419" s="44"/>
      <c r="BJ419" s="43"/>
      <c r="BK419" s="45"/>
      <c r="BL419" s="45"/>
      <c r="BM41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1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1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1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1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19" s="19" t="str">
        <f>IFERROR(Table1[[#This Row],[* Prior Practice Efficiency]]*Table1[[#This Row],[* Prior Load Before Treatment (kg/year)]],"")</f>
        <v/>
      </c>
      <c r="BT419" s="19"/>
    </row>
    <row r="420" spans="14:72">
      <c r="N420" s="48"/>
      <c r="U420" s="43" t="str">
        <f>IFERROR(VLOOKUP(Table1[[#This Row],[Applicable FRP]],Dropdowns!$C$2:$E$15,3,FALSE),"")</f>
        <v/>
      </c>
      <c r="V420" s="43" t="str">
        <f>IFERROR(VLOOKUP(Table1[[#This Row],[LC TMDL Drainage Area]],Dropdowns!$P$3:$Q$23,2,FALSE),"")</f>
        <v/>
      </c>
      <c r="AN420" s="50"/>
      <c r="AP420" s="19"/>
      <c r="AQ420" s="19"/>
      <c r="AR420"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20"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20"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2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2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20" s="19" t="str">
        <f>IFERROR(Table1[[#This Row],[* Practice Efficiency]]*Table1[[#This Row],[* Load Before Treatment (kg/yr)]],"")</f>
        <v/>
      </c>
      <c r="AX420" s="100">
        <v>0</v>
      </c>
      <c r="AY420" s="44" t="s">
        <v>121</v>
      </c>
      <c r="BA420" s="101">
        <v>1</v>
      </c>
      <c r="BB42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20" s="44"/>
      <c r="BD420" s="44"/>
      <c r="BJ420" s="43"/>
      <c r="BK420" s="45"/>
      <c r="BL420" s="45"/>
      <c r="BM42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2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2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2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2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20" s="19" t="str">
        <f>IFERROR(Table1[[#This Row],[* Prior Practice Efficiency]]*Table1[[#This Row],[* Prior Load Before Treatment (kg/year)]],"")</f>
        <v/>
      </c>
      <c r="BT420" s="19"/>
    </row>
    <row r="421" spans="14:72">
      <c r="N421" s="48"/>
      <c r="U421" s="43" t="str">
        <f>IFERROR(VLOOKUP(Table1[[#This Row],[Applicable FRP]],Dropdowns!$C$2:$E$15,3,FALSE),"")</f>
        <v/>
      </c>
      <c r="V421" s="43" t="str">
        <f>IFERROR(VLOOKUP(Table1[[#This Row],[LC TMDL Drainage Area]],Dropdowns!$P$3:$Q$23,2,FALSE),"")</f>
        <v/>
      </c>
      <c r="AN421" s="50"/>
      <c r="AP421" s="19"/>
      <c r="AQ421" s="19"/>
      <c r="AR421"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21"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21"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2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2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21" s="19" t="str">
        <f>IFERROR(Table1[[#This Row],[* Practice Efficiency]]*Table1[[#This Row],[* Load Before Treatment (kg/yr)]],"")</f>
        <v/>
      </c>
      <c r="AX421" s="100">
        <v>0</v>
      </c>
      <c r="AY421" s="44" t="s">
        <v>121</v>
      </c>
      <c r="BA421" s="101">
        <v>1</v>
      </c>
      <c r="BB42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21" s="44"/>
      <c r="BD421" s="44"/>
      <c r="BJ421" s="43"/>
      <c r="BK421" s="45"/>
      <c r="BL421" s="45"/>
      <c r="BM42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2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2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2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2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21" s="19" t="str">
        <f>IFERROR(Table1[[#This Row],[* Prior Practice Efficiency]]*Table1[[#This Row],[* Prior Load Before Treatment (kg/year)]],"")</f>
        <v/>
      </c>
      <c r="BT421" s="19"/>
    </row>
    <row r="422" spans="14:72">
      <c r="N422" s="48"/>
      <c r="U422" s="43" t="str">
        <f>IFERROR(VLOOKUP(Table1[[#This Row],[Applicable FRP]],Dropdowns!$C$2:$E$15,3,FALSE),"")</f>
        <v/>
      </c>
      <c r="V422" s="43" t="str">
        <f>IFERROR(VLOOKUP(Table1[[#This Row],[LC TMDL Drainage Area]],Dropdowns!$P$3:$Q$23,2,FALSE),"")</f>
        <v/>
      </c>
      <c r="AN422" s="50"/>
      <c r="AP422" s="19"/>
      <c r="AQ422" s="19"/>
      <c r="AR422"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22"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22"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2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2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22" s="19" t="str">
        <f>IFERROR(Table1[[#This Row],[* Practice Efficiency]]*Table1[[#This Row],[* Load Before Treatment (kg/yr)]],"")</f>
        <v/>
      </c>
      <c r="AX422" s="100">
        <v>0</v>
      </c>
      <c r="AY422" s="44" t="s">
        <v>121</v>
      </c>
      <c r="BA422" s="101">
        <v>1</v>
      </c>
      <c r="BB42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22" s="44"/>
      <c r="BD422" s="44"/>
      <c r="BJ422" s="43"/>
      <c r="BK422" s="45"/>
      <c r="BL422" s="45"/>
      <c r="BM42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2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2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2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2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22" s="19" t="str">
        <f>IFERROR(Table1[[#This Row],[* Prior Practice Efficiency]]*Table1[[#This Row],[* Prior Load Before Treatment (kg/year)]],"")</f>
        <v/>
      </c>
      <c r="BT422" s="19"/>
    </row>
    <row r="423" spans="14:72">
      <c r="N423" s="48"/>
      <c r="U423" s="43" t="str">
        <f>IFERROR(VLOOKUP(Table1[[#This Row],[Applicable FRP]],Dropdowns!$C$2:$E$15,3,FALSE),"")</f>
        <v/>
      </c>
      <c r="V423" s="43" t="str">
        <f>IFERROR(VLOOKUP(Table1[[#This Row],[LC TMDL Drainage Area]],Dropdowns!$P$3:$Q$23,2,FALSE),"")</f>
        <v/>
      </c>
      <c r="AN423" s="50"/>
      <c r="AP423" s="19"/>
      <c r="AQ423" s="19"/>
      <c r="AR423"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23"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23"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2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2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23" s="19" t="str">
        <f>IFERROR(Table1[[#This Row],[* Practice Efficiency]]*Table1[[#This Row],[* Load Before Treatment (kg/yr)]],"")</f>
        <v/>
      </c>
      <c r="AX423" s="100">
        <v>0</v>
      </c>
      <c r="AY423" s="44" t="s">
        <v>121</v>
      </c>
      <c r="BA423" s="101">
        <v>1</v>
      </c>
      <c r="BB42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23" s="44"/>
      <c r="BD423" s="44"/>
      <c r="BJ423" s="43"/>
      <c r="BK423" s="45"/>
      <c r="BL423" s="45"/>
      <c r="BM42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2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2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2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2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23" s="19" t="str">
        <f>IFERROR(Table1[[#This Row],[* Prior Practice Efficiency]]*Table1[[#This Row],[* Prior Load Before Treatment (kg/year)]],"")</f>
        <v/>
      </c>
      <c r="BT423" s="19"/>
    </row>
    <row r="424" spans="14:72">
      <c r="N424" s="48"/>
      <c r="U424" s="43" t="str">
        <f>IFERROR(VLOOKUP(Table1[[#This Row],[Applicable FRP]],Dropdowns!$C$2:$E$15,3,FALSE),"")</f>
        <v/>
      </c>
      <c r="V424" s="43" t="str">
        <f>IFERROR(VLOOKUP(Table1[[#This Row],[LC TMDL Drainage Area]],Dropdowns!$P$3:$Q$23,2,FALSE),"")</f>
        <v/>
      </c>
      <c r="AN424" s="50"/>
      <c r="AP424" s="19"/>
      <c r="AQ424" s="19"/>
      <c r="AR424" s="19">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24" s="19" t="str">
        <f>IFERROR(MIN(2,IF(Table1[[#This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
      </c>
      <c r="AT424" s="19" t="str">
        <f>IFERROR((VLOOKUP(CONCATENATE(Table1[[#This Row],[BMP Type ]]," ",Table1[[#This Row],[Infiltration rate (in/hr)]]),'Performance Curves'!$C$1:$L$45,MATCH(Table1[[#This Row],[* Storage Depth (inches)]],'Performance Curves'!$E$1:$L$1,1)+2,FALSE)-VLOOKUP(CONCATENATE(Table1[[#This Row],[BMP Type ]]," ",Table1[[#This Row],[Infiltration rate (in/hr)]]),'Performance Curves'!$C$1:$L$45,MATCH(Table1[[#This Row],[* Storage Depth (inches)]],'Performance Curves'!$E$1:$L$1,1)+1,FALSE)),"")</f>
        <v/>
      </c>
      <c r="AU42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2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24" s="19" t="str">
        <f>IFERROR(Table1[[#This Row],[* Practice Efficiency]]*Table1[[#This Row],[* Load Before Treatment (kg/yr)]],"")</f>
        <v/>
      </c>
      <c r="AX424" s="100">
        <v>0</v>
      </c>
      <c r="AY424" s="44" t="s">
        <v>121</v>
      </c>
      <c r="BA424" s="101">
        <v>1</v>
      </c>
      <c r="BB42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24" s="44"/>
      <c r="BD424" s="44"/>
      <c r="BJ424" s="43"/>
      <c r="BK424" s="45"/>
      <c r="BL424" s="45"/>
      <c r="BM42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2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2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2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2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24" s="19" t="str">
        <f>IFERROR(Table1[[#This Row],[* Prior Practice Efficiency]]*Table1[[#This Row],[* Prior Load Before Treatment (kg/year)]],"")</f>
        <v/>
      </c>
      <c r="BT424" s="19"/>
    </row>
    <row r="425" spans="14:72">
      <c r="N425" s="48"/>
      <c r="U425" s="43" t="str">
        <f>IFERROR(VLOOKUP(Table1[[#This Row],[Applicable FRP]],Dropdowns!$C$2:$E$15,3,FALSE),"")</f>
        <v/>
      </c>
      <c r="V425" s="43" t="str">
        <f>IFERROR(VLOOKUP(Table1[[#This Row],[LC TMDL Drainage Area]],Dropdowns!$P$3:$Q$23,2,FALSE),"")</f>
        <v/>
      </c>
      <c r="AN425" s="50"/>
      <c r="AP425" s="44"/>
      <c r="AQ425" s="44"/>
      <c r="AR425"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25"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25" s="19" t="e">
        <f>(VLOOKUP(Table1[[#This Row],[BMP Type ]],'Performance Curves'!A497:L540,MATCH(Table1[[#This Row],[* Storage Depth (inches)]],'Performance Curves'!$E$1:$L$1,1)+3)-VLOOKUP(Table1[[#This Row],[BMP Type ]],'Performance Curves'!A497:L540,MATCH(Table1[[#This Row],[* Storage Depth (inches)]],'Performance Curves'!$E$1:$L$1,1)+1))</f>
        <v>#DIV/0!</v>
      </c>
      <c r="AU42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2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25" s="19" t="str">
        <f>IFERROR(Table1[[#This Row],[* Practice Efficiency]]*Table1[[#This Row],[* Load Before Treatment (kg/yr)]],"")</f>
        <v/>
      </c>
      <c r="AX425" s="100">
        <v>0</v>
      </c>
      <c r="AY425" s="44" t="s">
        <v>121</v>
      </c>
      <c r="BA425" s="154"/>
      <c r="BB42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25" s="44"/>
      <c r="BD425" s="44"/>
      <c r="BM42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2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2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2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2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25" s="19" t="str">
        <f>IFERROR(Table1[[#This Row],[* Prior Practice Efficiency]]*Table1[[#This Row],[* Prior Load Before Treatment (kg/year)]],"")</f>
        <v/>
      </c>
      <c r="BT425" s="19"/>
    </row>
    <row r="426" spans="14:72">
      <c r="N426" s="48"/>
      <c r="U426" s="43" t="str">
        <f>IFERROR(VLOOKUP(Table1[[#This Row],[Applicable FRP]],Dropdowns!$C$2:$E$15,3,FALSE),"")</f>
        <v/>
      </c>
      <c r="V426" s="43" t="str">
        <f>IFERROR(VLOOKUP(Table1[[#This Row],[LC TMDL Drainage Area]],Dropdowns!$P$3:$Q$23,2,FALSE),"")</f>
        <v/>
      </c>
      <c r="AN426" s="50"/>
      <c r="AP426" s="44"/>
      <c r="AQ426" s="44"/>
      <c r="AR426"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26"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26" s="19" t="e">
        <f>(VLOOKUP(Table1[[#This Row],[BMP Type ]],'Performance Curves'!A498:L541,MATCH(Table1[[#This Row],[* Storage Depth (inches)]],'Performance Curves'!$E$1:$L$1,1)+3)-VLOOKUP(Table1[[#This Row],[BMP Type ]],'Performance Curves'!A498:L541,MATCH(Table1[[#This Row],[* Storage Depth (inches)]],'Performance Curves'!$E$1:$L$1,1)+1))</f>
        <v>#DIV/0!</v>
      </c>
      <c r="AU42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2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26" s="19" t="str">
        <f>IFERROR(Table1[[#This Row],[* Practice Efficiency]]*Table1[[#This Row],[* Load Before Treatment (kg/yr)]],"")</f>
        <v/>
      </c>
      <c r="AX426" s="100">
        <v>0</v>
      </c>
      <c r="AY426" s="44" t="s">
        <v>121</v>
      </c>
      <c r="BA426" s="154"/>
      <c r="BB42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26" s="44"/>
      <c r="BD426" s="44"/>
      <c r="BM42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2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2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2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2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26" s="19" t="str">
        <f>IFERROR(Table1[[#This Row],[* Prior Practice Efficiency]]*Table1[[#This Row],[* Prior Load Before Treatment (kg/year)]],"")</f>
        <v/>
      </c>
      <c r="BT426" s="19"/>
    </row>
    <row r="427" spans="14:72">
      <c r="N427" s="48"/>
      <c r="U427" s="43" t="str">
        <f>IFERROR(VLOOKUP(Table1[[#This Row],[Applicable FRP]],Dropdowns!$C$2:$E$15,3,FALSE),"")</f>
        <v/>
      </c>
      <c r="V427" s="43" t="str">
        <f>IFERROR(VLOOKUP(Table1[[#This Row],[LC TMDL Drainage Area]],Dropdowns!$P$3:$Q$23,2,FALSE),"")</f>
        <v/>
      </c>
      <c r="AN427" s="50"/>
      <c r="AP427" s="44"/>
      <c r="AQ427" s="44"/>
      <c r="AR427"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27"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27" s="19" t="e">
        <f>(VLOOKUP(Table1[[#This Row],[BMP Type ]],'Performance Curves'!A499:L542,MATCH(Table1[[#This Row],[* Storage Depth (inches)]],'Performance Curves'!$E$1:$L$1,1)+3)-VLOOKUP(Table1[[#This Row],[BMP Type ]],'Performance Curves'!A499:L542,MATCH(Table1[[#This Row],[* Storage Depth (inches)]],'Performance Curves'!$E$1:$L$1,1)+1))</f>
        <v>#DIV/0!</v>
      </c>
      <c r="AU42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2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27" s="19" t="str">
        <f>IFERROR(Table1[[#This Row],[* Practice Efficiency]]*Table1[[#This Row],[* Load Before Treatment (kg/yr)]],"")</f>
        <v/>
      </c>
      <c r="AX427" s="100">
        <v>0</v>
      </c>
      <c r="AY427" s="44" t="s">
        <v>121</v>
      </c>
      <c r="BA427" s="154"/>
      <c r="BB42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27" s="44"/>
      <c r="BD427" s="44"/>
      <c r="BM42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2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2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2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2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27" s="19" t="str">
        <f>IFERROR(Table1[[#This Row],[* Prior Practice Efficiency]]*Table1[[#This Row],[* Prior Load Before Treatment (kg/year)]],"")</f>
        <v/>
      </c>
      <c r="BT427" s="19"/>
    </row>
    <row r="428" spans="14:72">
      <c r="N428" s="48"/>
      <c r="U428" s="43" t="str">
        <f>IFERROR(VLOOKUP(Table1[[#This Row],[Applicable FRP]],Dropdowns!$C$2:$E$15,3,FALSE),"")</f>
        <v/>
      </c>
      <c r="V428" s="43" t="str">
        <f>IFERROR(VLOOKUP(Table1[[#This Row],[LC TMDL Drainage Area]],Dropdowns!$P$3:$Q$23,2,FALSE),"")</f>
        <v/>
      </c>
      <c r="AN428" s="50"/>
      <c r="AP428" s="44"/>
      <c r="AQ428" s="44"/>
      <c r="AR428"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28"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28" s="19" t="e">
        <f>(VLOOKUP(Table1[[#This Row],[BMP Type ]],'Performance Curves'!A500:L543,MATCH(Table1[[#This Row],[* Storage Depth (inches)]],'Performance Curves'!$E$1:$L$1,1)+3)-VLOOKUP(Table1[[#This Row],[BMP Type ]],'Performance Curves'!A500:L543,MATCH(Table1[[#This Row],[* Storage Depth (inches)]],'Performance Curves'!$E$1:$L$1,1)+1))</f>
        <v>#DIV/0!</v>
      </c>
      <c r="AU42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2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28" s="19" t="str">
        <f>IFERROR(Table1[[#This Row],[* Practice Efficiency]]*Table1[[#This Row],[* Load Before Treatment (kg/yr)]],"")</f>
        <v/>
      </c>
      <c r="AX428" s="100">
        <v>0</v>
      </c>
      <c r="AY428" s="44" t="s">
        <v>121</v>
      </c>
      <c r="BA428" s="154"/>
      <c r="BB42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28" s="44"/>
      <c r="BD428" s="44"/>
      <c r="BM42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2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2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2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2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28" s="19" t="str">
        <f>IFERROR(Table1[[#This Row],[* Prior Practice Efficiency]]*Table1[[#This Row],[* Prior Load Before Treatment (kg/year)]],"")</f>
        <v/>
      </c>
      <c r="BT428" s="19"/>
    </row>
    <row r="429" spans="14:72">
      <c r="N429" s="48"/>
      <c r="U429" s="43" t="str">
        <f>IFERROR(VLOOKUP(Table1[[#This Row],[Applicable FRP]],Dropdowns!$C$2:$E$15,3,FALSE),"")</f>
        <v/>
      </c>
      <c r="V429" s="43" t="str">
        <f>IFERROR(VLOOKUP(Table1[[#This Row],[LC TMDL Drainage Area]],Dropdowns!$P$3:$Q$23,2,FALSE),"")</f>
        <v/>
      </c>
      <c r="AN429" s="50"/>
      <c r="AP429" s="44"/>
      <c r="AQ429" s="44"/>
      <c r="AR429"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29"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29" s="19" t="e">
        <f>(VLOOKUP(Table1[[#This Row],[BMP Type ]],'Performance Curves'!A501:L544,MATCH(Table1[[#This Row],[* Storage Depth (inches)]],'Performance Curves'!$E$1:$L$1,1)+3)-VLOOKUP(Table1[[#This Row],[BMP Type ]],'Performance Curves'!A501:L544,MATCH(Table1[[#This Row],[* Storage Depth (inches)]],'Performance Curves'!$E$1:$L$1,1)+1))</f>
        <v>#DIV/0!</v>
      </c>
      <c r="AU42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2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29" s="19" t="str">
        <f>IFERROR(Table1[[#This Row],[* Practice Efficiency]]*Table1[[#This Row],[* Load Before Treatment (kg/yr)]],"")</f>
        <v/>
      </c>
      <c r="AX429" s="100">
        <v>0</v>
      </c>
      <c r="AY429" s="44" t="s">
        <v>121</v>
      </c>
      <c r="BA429" s="154"/>
      <c r="BB42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29" s="44"/>
      <c r="BD429" s="44"/>
      <c r="BM42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2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2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2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2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29" s="19" t="str">
        <f>IFERROR(Table1[[#This Row],[* Prior Practice Efficiency]]*Table1[[#This Row],[* Prior Load Before Treatment (kg/year)]],"")</f>
        <v/>
      </c>
      <c r="BT429" s="19"/>
    </row>
    <row r="430" spans="14:72">
      <c r="N430" s="48"/>
      <c r="U430" s="43" t="str">
        <f>IFERROR(VLOOKUP(Table1[[#This Row],[Applicable FRP]],Dropdowns!$C$2:$E$15,3,FALSE),"")</f>
        <v/>
      </c>
      <c r="V430" s="43" t="str">
        <f>IFERROR(VLOOKUP(Table1[[#This Row],[LC TMDL Drainage Area]],Dropdowns!$P$3:$Q$23,2,FALSE),"")</f>
        <v/>
      </c>
      <c r="AN430" s="50"/>
      <c r="AP430" s="44"/>
      <c r="AQ430" s="44"/>
      <c r="AR430"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30"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30" s="19" t="e">
        <f>(VLOOKUP(Table1[[#This Row],[BMP Type ]],'Performance Curves'!A502:L545,MATCH(Table1[[#This Row],[* Storage Depth (inches)]],'Performance Curves'!$E$1:$L$1,1)+3)-VLOOKUP(Table1[[#This Row],[BMP Type ]],'Performance Curves'!A502:L545,MATCH(Table1[[#This Row],[* Storage Depth (inches)]],'Performance Curves'!$E$1:$L$1,1)+1))</f>
        <v>#DIV/0!</v>
      </c>
      <c r="AU430"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30"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30" s="19" t="str">
        <f>IFERROR(Table1[[#This Row],[* Practice Efficiency]]*Table1[[#This Row],[* Load Before Treatment (kg/yr)]],"")</f>
        <v/>
      </c>
      <c r="AX430" s="100">
        <v>0</v>
      </c>
      <c r="AY430" s="44" t="s">
        <v>121</v>
      </c>
      <c r="BA430" s="154"/>
      <c r="BB430"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30" s="44"/>
      <c r="BD430" s="44"/>
      <c r="BM430"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30"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30"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30"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30"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30" s="19" t="str">
        <f>IFERROR(Table1[[#This Row],[* Prior Practice Efficiency]]*Table1[[#This Row],[* Prior Load Before Treatment (kg/year)]],"")</f>
        <v/>
      </c>
      <c r="BT430" s="19"/>
    </row>
    <row r="431" spans="14:72">
      <c r="N431" s="48"/>
      <c r="U431" s="43" t="str">
        <f>IFERROR(VLOOKUP(Table1[[#This Row],[Applicable FRP]],Dropdowns!$C$2:$E$15,3,FALSE),"")</f>
        <v/>
      </c>
      <c r="V431" s="43" t="str">
        <f>IFERROR(VLOOKUP(Table1[[#This Row],[LC TMDL Drainage Area]],Dropdowns!$P$3:$Q$23,2,FALSE),"")</f>
        <v/>
      </c>
      <c r="AN431" s="50"/>
      <c r="AP431" s="44"/>
      <c r="AQ431" s="44"/>
      <c r="AR431"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31"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31" s="19" t="e">
        <f>(VLOOKUP(Table1[[#This Row],[BMP Type ]],'Performance Curves'!A503:L546,MATCH(Table1[[#This Row],[* Storage Depth (inches)]],'Performance Curves'!$E$1:$L$1,1)+3)-VLOOKUP(Table1[[#This Row],[BMP Type ]],'Performance Curves'!A503:L546,MATCH(Table1[[#This Row],[* Storage Depth (inches)]],'Performance Curves'!$E$1:$L$1,1)+1))</f>
        <v>#DIV/0!</v>
      </c>
      <c r="AU431"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31"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31" s="19" t="str">
        <f>IFERROR(Table1[[#This Row],[* Practice Efficiency]]*Table1[[#This Row],[* Load Before Treatment (kg/yr)]],"")</f>
        <v/>
      </c>
      <c r="AX431" s="100">
        <v>0</v>
      </c>
      <c r="AY431" s="44" t="s">
        <v>121</v>
      </c>
      <c r="BA431" s="154"/>
      <c r="BB431"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31" s="44"/>
      <c r="BD431" s="44"/>
      <c r="BM431"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31"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31"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31"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31"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31" s="19" t="str">
        <f>IFERROR(Table1[[#This Row],[* Prior Practice Efficiency]]*Table1[[#This Row],[* Prior Load Before Treatment (kg/year)]],"")</f>
        <v/>
      </c>
      <c r="BT431" s="19"/>
    </row>
    <row r="432" spans="14:72">
      <c r="N432" s="48"/>
      <c r="U432" s="43" t="str">
        <f>IFERROR(VLOOKUP(Table1[[#This Row],[Applicable FRP]],Dropdowns!$C$2:$E$15,3,FALSE),"")</f>
        <v/>
      </c>
      <c r="V432" s="43" t="str">
        <f>IFERROR(VLOOKUP(Table1[[#This Row],[LC TMDL Drainage Area]],Dropdowns!$P$3:$Q$23,2,FALSE),"")</f>
        <v/>
      </c>
      <c r="AN432" s="50"/>
      <c r="AP432" s="44"/>
      <c r="AQ432" s="44"/>
      <c r="AR432"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32"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32" s="19" t="e">
        <f>(VLOOKUP(Table1[[#This Row],[BMP Type ]],'Performance Curves'!A504:L547,MATCH(Table1[[#This Row],[* Storage Depth (inches)]],'Performance Curves'!$E$1:$L$1,1)+3)-VLOOKUP(Table1[[#This Row],[BMP Type ]],'Performance Curves'!A504:L547,MATCH(Table1[[#This Row],[* Storage Depth (inches)]],'Performance Curves'!$E$1:$L$1,1)+1))</f>
        <v>#DIV/0!</v>
      </c>
      <c r="AU432"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32"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32" s="19" t="str">
        <f>IFERROR(Table1[[#This Row],[* Practice Efficiency]]*Table1[[#This Row],[* Load Before Treatment (kg/yr)]],"")</f>
        <v/>
      </c>
      <c r="AX432" s="100">
        <v>0</v>
      </c>
      <c r="AY432" s="44" t="s">
        <v>121</v>
      </c>
      <c r="BA432" s="154"/>
      <c r="BB432"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32" s="44"/>
      <c r="BD432" s="44"/>
      <c r="BM432"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32"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32"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32"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32"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32" s="19" t="str">
        <f>IFERROR(Table1[[#This Row],[* Prior Practice Efficiency]]*Table1[[#This Row],[* Prior Load Before Treatment (kg/year)]],"")</f>
        <v/>
      </c>
      <c r="BT432" s="19"/>
    </row>
    <row r="433" spans="14:72">
      <c r="N433" s="48"/>
      <c r="U433" s="43" t="str">
        <f>IFERROR(VLOOKUP(Table1[[#This Row],[Applicable FRP]],Dropdowns!$C$2:$E$15,3,FALSE),"")</f>
        <v/>
      </c>
      <c r="V433" s="43" t="str">
        <f>IFERROR(VLOOKUP(Table1[[#This Row],[LC TMDL Drainage Area]],Dropdowns!$P$3:$Q$23,2,FALSE),"")</f>
        <v/>
      </c>
      <c r="AN433" s="50"/>
      <c r="AP433" s="44"/>
      <c r="AQ433" s="44"/>
      <c r="AR433"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33"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33" s="19" t="e">
        <f>(VLOOKUP(Table1[[#This Row],[BMP Type ]],'Performance Curves'!A505:L548,MATCH(Table1[[#This Row],[* Storage Depth (inches)]],'Performance Curves'!$E$1:$L$1,1)+3)-VLOOKUP(Table1[[#This Row],[BMP Type ]],'Performance Curves'!A505:L548,MATCH(Table1[[#This Row],[* Storage Depth (inches)]],'Performance Curves'!$E$1:$L$1,1)+1))</f>
        <v>#DIV/0!</v>
      </c>
      <c r="AU433"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33"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33" s="19" t="str">
        <f>IFERROR(Table1[[#This Row],[* Practice Efficiency]]*Table1[[#This Row],[* Load Before Treatment (kg/yr)]],"")</f>
        <v/>
      </c>
      <c r="AX433" s="100">
        <v>0</v>
      </c>
      <c r="AY433" s="44" t="s">
        <v>121</v>
      </c>
      <c r="BA433" s="154"/>
      <c r="BB433"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33" s="44"/>
      <c r="BD433" s="44"/>
      <c r="BM433"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33"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33"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33"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33"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33" s="19" t="str">
        <f>IFERROR(Table1[[#This Row],[* Prior Practice Efficiency]]*Table1[[#This Row],[* Prior Load Before Treatment (kg/year)]],"")</f>
        <v/>
      </c>
      <c r="BT433" s="19"/>
    </row>
    <row r="434" spans="14:72">
      <c r="N434" s="48"/>
      <c r="U434" s="43" t="str">
        <f>IFERROR(VLOOKUP(Table1[[#This Row],[Applicable FRP]],Dropdowns!$C$2:$E$15,3,FALSE),"")</f>
        <v/>
      </c>
      <c r="V434" s="43" t="str">
        <f>IFERROR(VLOOKUP(Table1[[#This Row],[LC TMDL Drainage Area]],Dropdowns!$P$3:$Q$23,2,FALSE),"")</f>
        <v/>
      </c>
      <c r="AN434" s="50"/>
      <c r="AP434" s="44"/>
      <c r="AQ434" s="44"/>
      <c r="AR434"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34"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34" s="19" t="e">
        <f>(VLOOKUP(Table1[[#This Row],[BMP Type ]],'Performance Curves'!A506:L549,MATCH(Table1[[#This Row],[* Storage Depth (inches)]],'Performance Curves'!$E$1:$L$1,1)+3)-VLOOKUP(Table1[[#This Row],[BMP Type ]],'Performance Curves'!A506:L549,MATCH(Table1[[#This Row],[* Storage Depth (inches)]],'Performance Curves'!$E$1:$L$1,1)+1))</f>
        <v>#DIV/0!</v>
      </c>
      <c r="AU434"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34"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34" s="19" t="str">
        <f>IFERROR(Table1[[#This Row],[* Practice Efficiency]]*Table1[[#This Row],[* Load Before Treatment (kg/yr)]],"")</f>
        <v/>
      </c>
      <c r="AX434" s="100">
        <v>0</v>
      </c>
      <c r="AY434" s="44" t="s">
        <v>121</v>
      </c>
      <c r="BA434" s="154"/>
      <c r="BB434"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34" s="44"/>
      <c r="BD434" s="44"/>
      <c r="BM434"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34"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34"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34"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34"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34" s="19" t="str">
        <f>IFERROR(Table1[[#This Row],[* Prior Practice Efficiency]]*Table1[[#This Row],[* Prior Load Before Treatment (kg/year)]],"")</f>
        <v/>
      </c>
      <c r="BT434" s="19"/>
    </row>
    <row r="435" spans="14:72">
      <c r="N435" s="48"/>
      <c r="U435" s="43" t="str">
        <f>IFERROR(VLOOKUP(Table1[[#This Row],[Applicable FRP]],Dropdowns!$C$2:$E$15,3,FALSE),"")</f>
        <v/>
      </c>
      <c r="V435" s="43" t="str">
        <f>IFERROR(VLOOKUP(Table1[[#This Row],[LC TMDL Drainage Area]],Dropdowns!$P$3:$Q$23,2,FALSE),"")</f>
        <v/>
      </c>
      <c r="AN435" s="50"/>
      <c r="AP435" s="44"/>
      <c r="AQ435" s="44"/>
      <c r="AR435"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35"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35" s="19" t="e">
        <f>(VLOOKUP(Table1[[#This Row],[BMP Type ]],'Performance Curves'!A507:L550,MATCH(Table1[[#This Row],[* Storage Depth (inches)]],'Performance Curves'!$E$1:$L$1,1)+3)-VLOOKUP(Table1[[#This Row],[BMP Type ]],'Performance Curves'!A507:L550,MATCH(Table1[[#This Row],[* Storage Depth (inches)]],'Performance Curves'!$E$1:$L$1,1)+1))</f>
        <v>#DIV/0!</v>
      </c>
      <c r="AU435"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35"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35" s="19" t="str">
        <f>IFERROR(Table1[[#This Row],[* Practice Efficiency]]*Table1[[#This Row],[* Load Before Treatment (kg/yr)]],"")</f>
        <v/>
      </c>
      <c r="AX435" s="100">
        <v>0</v>
      </c>
      <c r="AY435" s="44" t="s">
        <v>121</v>
      </c>
      <c r="BA435" s="154"/>
      <c r="BB435"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35" s="44"/>
      <c r="BD435" s="44"/>
      <c r="BM435"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35"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35"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35"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35"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35" s="19" t="str">
        <f>IFERROR(Table1[[#This Row],[* Prior Practice Efficiency]]*Table1[[#This Row],[* Prior Load Before Treatment (kg/year)]],"")</f>
        <v/>
      </c>
      <c r="BT435" s="19"/>
    </row>
    <row r="436" spans="14:72">
      <c r="N436" s="48"/>
      <c r="U436" s="43" t="str">
        <f>IFERROR(VLOOKUP(Table1[[#This Row],[Applicable FRP]],Dropdowns!$C$2:$E$15,3,FALSE),"")</f>
        <v/>
      </c>
      <c r="V436" s="43" t="str">
        <f>IFERROR(VLOOKUP(Table1[[#This Row],[LC TMDL Drainage Area]],Dropdowns!$P$3:$Q$23,2,FALSE),"")</f>
        <v/>
      </c>
      <c r="AN436" s="50"/>
      <c r="AP436" s="44"/>
      <c r="AQ436" s="44"/>
      <c r="AR436"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36"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36" s="19" t="e">
        <f>(VLOOKUP(Table1[[#This Row],[BMP Type ]],'Performance Curves'!A508:L551,MATCH(Table1[[#This Row],[* Storage Depth (inches)]],'Performance Curves'!$E$1:$L$1,1)+3)-VLOOKUP(Table1[[#This Row],[BMP Type ]],'Performance Curves'!A508:L551,MATCH(Table1[[#This Row],[* Storage Depth (inches)]],'Performance Curves'!$E$1:$L$1,1)+1))</f>
        <v>#DIV/0!</v>
      </c>
      <c r="AU436"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36"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36" s="19" t="str">
        <f>IFERROR(Table1[[#This Row],[* Practice Efficiency]]*Table1[[#This Row],[* Load Before Treatment (kg/yr)]],"")</f>
        <v/>
      </c>
      <c r="AX436" s="100">
        <v>0</v>
      </c>
      <c r="AY436" s="44" t="s">
        <v>121</v>
      </c>
      <c r="BA436" s="154"/>
      <c r="BB436"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36" s="44"/>
      <c r="BD436" s="44"/>
      <c r="BM436"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36"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36"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36"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36"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36" s="19" t="str">
        <f>IFERROR(Table1[[#This Row],[* Prior Practice Efficiency]]*Table1[[#This Row],[* Prior Load Before Treatment (kg/year)]],"")</f>
        <v/>
      </c>
      <c r="BT436" s="19"/>
    </row>
    <row r="437" spans="14:72">
      <c r="N437" s="48"/>
      <c r="U437" s="43" t="str">
        <f>IFERROR(VLOOKUP(Table1[[#This Row],[Applicable FRP]],Dropdowns!$C$2:$E$15,3,FALSE),"")</f>
        <v/>
      </c>
      <c r="V437" s="43" t="str">
        <f>IFERROR(VLOOKUP(Table1[[#This Row],[LC TMDL Drainage Area]],Dropdowns!$P$3:$Q$23,2,FALSE),"")</f>
        <v/>
      </c>
      <c r="AN437" s="50"/>
      <c r="AP437" s="44"/>
      <c r="AQ437" s="44"/>
      <c r="AR437"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37"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37" s="19" t="e">
        <f>(VLOOKUP(Table1[[#This Row],[BMP Type ]],'Performance Curves'!A509:L552,MATCH(Table1[[#This Row],[* Storage Depth (inches)]],'Performance Curves'!$E$1:$L$1,1)+3)-VLOOKUP(Table1[[#This Row],[BMP Type ]],'Performance Curves'!A509:L552,MATCH(Table1[[#This Row],[* Storage Depth (inches)]],'Performance Curves'!$E$1:$L$1,1)+1))</f>
        <v>#DIV/0!</v>
      </c>
      <c r="AU437"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37"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37" s="19" t="str">
        <f>IFERROR(Table1[[#This Row],[* Practice Efficiency]]*Table1[[#This Row],[* Load Before Treatment (kg/yr)]],"")</f>
        <v/>
      </c>
      <c r="AX437" s="100">
        <v>0</v>
      </c>
      <c r="AY437" s="44" t="s">
        <v>121</v>
      </c>
      <c r="BA437" s="154"/>
      <c r="BB437"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37" s="44"/>
      <c r="BD437" s="44"/>
      <c r="BM437"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37"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37"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37"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37"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37" s="19" t="str">
        <f>IFERROR(Table1[[#This Row],[* Prior Practice Efficiency]]*Table1[[#This Row],[* Prior Load Before Treatment (kg/year)]],"")</f>
        <v/>
      </c>
      <c r="BT437" s="19"/>
    </row>
    <row r="438" spans="14:72">
      <c r="N438" s="48"/>
      <c r="U438" s="43" t="str">
        <f>IFERROR(VLOOKUP(Table1[[#This Row],[Applicable FRP]],Dropdowns!$C$2:$E$15,3,FALSE),"")</f>
        <v/>
      </c>
      <c r="V438" s="43" t="str">
        <f>IFERROR(VLOOKUP(Table1[[#This Row],[LC TMDL Drainage Area]],Dropdowns!$P$3:$Q$23,2,FALSE),"")</f>
        <v/>
      </c>
      <c r="AN438" s="50"/>
      <c r="AP438" s="44"/>
      <c r="AQ438" s="44"/>
      <c r="AR438"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38"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38" s="19" t="e">
        <f>(VLOOKUP(Table1[[#This Row],[BMP Type ]],'Performance Curves'!A510:L553,MATCH(Table1[[#This Row],[* Storage Depth (inches)]],'Performance Curves'!$E$1:$L$1,1)+3)-VLOOKUP(Table1[[#This Row],[BMP Type ]],'Performance Curves'!A510:L553,MATCH(Table1[[#This Row],[* Storage Depth (inches)]],'Performance Curves'!$E$1:$L$1,1)+1))</f>
        <v>#DIV/0!</v>
      </c>
      <c r="AU438"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38"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38" s="19" t="str">
        <f>IFERROR(Table1[[#This Row],[* Practice Efficiency]]*Table1[[#This Row],[* Load Before Treatment (kg/yr)]],"")</f>
        <v/>
      </c>
      <c r="AX438" s="100">
        <v>0</v>
      </c>
      <c r="AY438" s="44" t="s">
        <v>121</v>
      </c>
      <c r="BA438" s="154"/>
      <c r="BB438"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38" s="44"/>
      <c r="BD438" s="44"/>
      <c r="BM438"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38"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38"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38"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38"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38" s="19" t="str">
        <f>IFERROR(Table1[[#This Row],[* Prior Practice Efficiency]]*Table1[[#This Row],[* Prior Load Before Treatment (kg/year)]],"")</f>
        <v/>
      </c>
      <c r="BT438" s="19"/>
    </row>
    <row r="439" spans="14:72">
      <c r="N439" s="48"/>
      <c r="U439" s="43" t="str">
        <f>IFERROR(VLOOKUP(Table1[[#This Row],[Applicable FRP]],Dropdowns!$C$2:$E$15,3,FALSE),"")</f>
        <v/>
      </c>
      <c r="V439" s="43" t="str">
        <f>IFERROR(VLOOKUP(Table1[[#This Row],[LC TMDL Drainage Area]],Dropdowns!$P$3:$Q$23,2,FALSE),"")</f>
        <v/>
      </c>
      <c r="AN439" s="50"/>
      <c r="AP439" s="44"/>
      <c r="AQ439" s="44"/>
      <c r="AR439" s="167">
        <f>IFERROR(IF(Table1[[#This Row],[Impervious land use]]='Loading Rates'!$G$30,Table1[[#This Row],[Impervious area  (acres)]]*VLOOKUP(Table1[[#This Row],[LC TMDL Drainage Area]],'Loading Rates'!$B$24:$M$51,6,FALSE),0)+IF(Table1[[#This Row],[Impervious land use]]='Loading Rates'!$H$30,Table1[[#This Row],[Impervious area  (acres)]]*VLOOKUP(Table1[[#This Row],[LC TMDL Drainage Area]],'Loading Rates'!$B$24:$M$51,7,FALSE),0)+IF(Table1[[#This Row],[Impervious land use]]='Loading Rates'!$I$30,Table1[[#This Row],[Impervious area  (acres)]]*VLOOKUP(Table1[[#This Row],[LC TMDL Drainage Area]],'Loading Rates'!$B$24:$M$51,8,FALSE),0)+IF(Table1[[#This Row],[Impervious land use]]='Loading Rates'!$J$30,Table1[[#This Row],[Impervious area  (acres)]]*VLOOKUP(Table1[[#This Row],[LC TMDL Drainage Area]],'Loading Rates'!$B$24:$M$51,9,FALSE),0)+IF(Table1[[#This Row],[Impervious land use]]='Loading Rates'!$K$30,Table1[[#This Row],[Impervious area  (acres)]]*VLOOKUP(Table1[[#This Row],[LC TMDL Drainage Area]],'Loading Rates'!$B$24:$M$51,10,FALSE),0)+IF(Table1[[#This Row],[Impervious land use]]='Loading Rates'!$L$30,Table1[[#This Row],[Impervious area  (acres)]]*VLOOKUP(Table1[[#This Row],[LC TMDL Drainage Area]],'Loading Rates'!$B$24:$M$51,11,FALSE),0)+IF(Table1[[#This Row],[Impervious land use]]='Loading Rates'!$D$29,Table1[[#This Row],[Impervious area  (acres)]]*VLOOKUP(Table1[[#This Row],[LC TMDL Drainage Area]],'Loading Rates'!$B$24:$M$51,3,FALSE),0)+IF(Table1[[#This Row],[Impervious land use]]='Loading Rates'!$F$29,Table1[[#This Row],[Impervious area  (acres)]]*VLOOKUP(Table1[[#This Row],[LC TMDL Drainage Area]],'Loading Rates'!$B$24:$M$51,5,FALSE),0)+IF(Table1[[#This Row],[Pervious Land Use]]="Developed Pervious",Table1[[#This Row],[Total Pervious area (acres)]]*VLOOKUP(Table1[[#This Row],[LC TMDL Drainage Area]],'Loading Rates'!$B$24:$M$51,4,FALSE),0)+IF(Table1[[#This Row],[Pervious Land Use]]="Forest",Table1[[#This Row],[Total Pervious area (acres)]]*VLOOKUP(Table1[[#This Row],[LC TMDL Drainage Area]],'Loading Rates'!$B$24:$M$51,12,FALSE),0),"")</f>
        <v>0</v>
      </c>
      <c r="AS439" s="19" t="e">
        <f>IF(Table1[[#This Row],[Pervious Entry Method]]="Total Pervious",((3630*Table1[[#This Row],[Impervious area  (acres)]]+20.691*Table1[[#This Row],[Total Pervious area (acres)]]+SQRT((3630*Table1[[#This Row],[Impervious area  (acres)]]+20.691*Table1[[#This Row],[Total Pervious area (acres)]])^2-(4*(996.798*Table1[[#This Row],[Total Pervious area (acres)]])*-Table1[[#This Row],[Storage volume (ft3)]])))/(2*(996.798*Table1[[#This Row],[Total Pervious area (acres)]]))),IF(SUM(Table1[[#This Row],[Pervious HSG A]:[Pervious HSG D ]])=0,Table1[[#This Row],[Storage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Row],[Storage volume (ft3)]])))/(2*(149.919*Table1[[#This Row],[Pervious HSG A]]+236.676*Table1[[#This Row],[Pervious HSG B]]+726*Table1[[#This Row],[Pervious HSG C]]+996.798*Table1[[#This Row],[Pervious HSG D ]]))))</f>
        <v>#DIV/0!</v>
      </c>
      <c r="AT439" s="19" t="e">
        <f>(VLOOKUP(Table1[[#This Row],[BMP Type ]],'Performance Curves'!A511:L554,MATCH(Table1[[#This Row],[* Storage Depth (inches)]],'Performance Curves'!$E$1:$L$1,1)+3)-VLOOKUP(Table1[[#This Row],[BMP Type ]],'Performance Curves'!A511:L554,MATCH(Table1[[#This Row],[* Storage Depth (inches)]],'Performance Curves'!$E$1:$L$1,1)+1))</f>
        <v>#DIV/0!</v>
      </c>
      <c r="AU439" s="19" t="str">
        <f>IFERROR((Table1[[#This Row],[* Storage Depth (inches)]]-INDEX('Performance Curves'!$E$1:$L$1,1,MATCH(Table1[[#This Row],[* Storage Depth (inches)]],'Performance Curves'!$E$1:$L$1,1)))/(INDEX('Performance Curves'!$E$1:$L$1,1,MATCH(Table1[[#This Row],[* Storage Depth (inches)]],'Performance Curves'!$E$1:$L$1,1)+1)-INDEX('Performance Curves'!$E$1:$L$1,1,MATCH(Table1[[#This Row],[* Storage Depth (inches)]],'Performance Curves'!$E$1:$L$1,1))),"")</f>
        <v/>
      </c>
      <c r="AV439" s="37" t="str">
        <f>IFERROR(IF(Table1[[#This Row],[* Storage Depth (inches)]]=2,VLOOKUP(CONCATENATE(Table1[[#This Row],[BMP Type ]]," ",Table1[[#This Row],[Infiltration rate (in/hr)]]),'Performance Curves'!$C$1:$L$45,_xlfn.SINGLE(MATCH(Table1[[#This Row],[* Storage Depth (inches)]],'Performance Curves'!$E$1:$L$1,1))+1,FALSE),Table1[[#This Row],[Upper Efficiency - Lower Efficiency]]*Table1[[#This Row],[Percent of Storage Depth Step]]+VLOOKUP(CONCATENATE(Table1[[#This Row],[BMP Type ]]," ",Table1[[#This Row],[Infiltration rate (in/hr)]]),'Performance Curves'!$C$1:$L$45,_xlfn.SINGLE(MATCH(Table1[[#This Row],[* Storage Depth (inches)]],'Performance Curves'!$E$1:$L$1,1))+1,FALSE)),"")</f>
        <v/>
      </c>
      <c r="AW439" s="19" t="str">
        <f>IFERROR(Table1[[#This Row],[* Practice Efficiency]]*Table1[[#This Row],[* Load Before Treatment (kg/yr)]],"")</f>
        <v/>
      </c>
      <c r="AX439" s="100">
        <v>0</v>
      </c>
      <c r="AY439" s="44" t="s">
        <v>121</v>
      </c>
      <c r="BA439" s="154"/>
      <c r="BB439" s="72" t="str">
        <f>IFERROR(IF(Table1[[#This Row],[Manual P Reduction (kg/yr)]]&gt;0,Table1[[#This Row],[Manual P Reduction (kg/yr)]],IF(Table1[[#This Row],[Is this an upgrade to an existing BMP?]]="Yes",Table1[[#This Row],[* P Reduction (kg/year)]]-Table1[[#This Row],[* Estimated P removal of Prior Practice (kg/yr)]],Table1[[#This Row],[* P Reduction (kg/year)]])),"Enter Info -&gt;")</f>
        <v/>
      </c>
      <c r="BC439" s="44"/>
      <c r="BD439" s="44"/>
      <c r="BM439" s="19" t="str">
        <f>IF(Table1[[#This Row],[Is this an upgrade to an existing BMP?]]="Yes",IF(Table1[[#This Row],[Has the upgrade changed the drainage area?]]="No",Table1[[#This Row],[Impervious area  (acres)]]*VLOOKUP(Table1[[#This Row],[LC TMDL Drainage Area]],'Loading Rates'!$B$1:$L$24,4,FALSE)+IF(Table1[[#This Row],[Pervious Entry Method]]="By HSG",Table1[[#This Row],[Pervious HSG A]]*VLOOKUP(Table1[[#This Row],[LC TMDL Drainage Area]],'Loading Rates'!$B$1:$L$24,6,FALSE)+Table1[[#This Row],[Pervious HSG B]]*VLOOKUP(Table1[[#This Row],[LC TMDL Drainage Area]],'Loading Rates'!$B$1:$L$24,7,FALSE)+Table1[[#This Row],[Pervious HSG C]]*VLOOKUP(Table1[[#This Row],[LC TMDL Drainage Area]],'Loading Rates'!$B$1:$L$24,8,FALSE)+Table1[[#This Row],[Pervious HSG D ]]*VLOOKUP(Table1[[#This Row],[LC TMDL Drainage Area]],'Loading Rates'!$B$1:$L$24,9,FALSE),Table1[[#This Row],[Total Pervious area (acres)]]*VLOOKUP(Table1[[#This Row],[LC TMDL Drainage Area]],'Loading Rates'!$B$1:$L$24,10,FALSE)),Table1[[#This Row],[Prior Impervious area (acres)]]*VLOOKUP(Table1[[#This Row],[LC TMDL Drainage Area]],'Loading Rates'!$B$1:$L$24,4,FALSE)+IF(Table1[[#This Row],[Pervious Entry Method 2]]="By HSG",Table1[[#This Row],[ HSG A ]]*VLOOKUP(Table1[[#This Row],[LC TMDL Drainage Area]],'Loading Rates'!$B$1:$L$24,6,FALSE)+Table1[[#This Row],[ HSG B]]*VLOOKUP(Table1[[#This Row],[LC TMDL Drainage Area]],'Loading Rates'!$B$1:$L$24,7,FALSE)+Table1[[#This Row],[HSG C]]*VLOOKUP(Table1[[#This Row],[LC TMDL Drainage Area]],'Loading Rates'!$B$1:$L$24,8,FALSE)+Table1[[#This Row],[HSG D]]*VLOOKUP(Table1[[#This Row],[LC TMDL Drainage Area]],'Loading Rates'!$B$1:$L$24,9,FALSE),Table1[[#This Row],[Total Pervious Area ]]*VLOOKUP(Table1[[#This Row],[LC TMDL Drainage Area]],'Loading Rates'!$B$1:$L$24,10,FALSE))),"")</f>
        <v/>
      </c>
      <c r="BN439" s="19" t="str">
        <f>IFERROR(IF(Table1[[#This Row],[Has the upgrade changed the drainage area?]]="Yes",MIN(2,IF(Table1[[#This Row],[Pervious Entry Method 2]]="Total Pervious",(-(3630*Table1[[#This Row],[Prior Impervious area (acres)]]+20.691*Table1[[#This Row],[Total Pervious Area ]])+SQRT((3630*Table1[[#This Row],[Prior Impervious area (acres)]]+20.691*Table1[[#This Row],[Total Pervious Area ]])^2-(4*(996.798*Table1[[#This Row],[Total Pervious Area ]])*-Table1[[#This Row],[Previous storage volume (ft3)]])))/(2*(996.798*Table1[[#This Row],[Total Pervious Area ]])),IF(SUM(Table1[[#This Row],[ HSG A ]:[HSG D]])=0,Table1[[#This Row],[Total Pervious Area ]]/(-3630*Table1[[#This Row],[Prior Impervious area (acres)]]),(-(3630*Table1[[#This Row],[Prior Impervious area (acres)]]+20.691*Table1[[#This Row],[HSG D]]-216.711*Table1[[#This Row],[HSG C]]-83.853*Table1[[#This Row],[ HSG B]]-42.834*Table1[[#This Row],[ HSG A ]])+SQRT((3630*Table1[[#This Row],[Prior Impervious area (acres)]]+20.691*Table1[[#This Row],[HSG D]]-216.711*Table1[[#This Row],[HSG C]]-83.853*Table1[[#This Row],[ HSG B]]-42.834*Table1[[#This Row],[ HSG A ]])^2-(4*(149.919*Table1[[#This Row],[ HSG A ]]+236.676*Table1[[#This Row],[ HSG B]]+726*Table1[[#This Row],[HSG C]]+996.798*Table1[[#This Row],[HSG D]])*-Table1[[#This Row],[Previous storage volume (ft3)]])))/(2*(149.919*Table1[[#This Row],[ HSG A ]]+236.676*Table1[[#This Row],[ HSG B]]+726*Table1[[#This Row],[HSG C]]+996.798*Table1[[#This Row],[HSG D]]))))),MIN(2,IF(Table1[[#This Row],[Pervious Entry Method 2]]="Total Pervious",(-(3630*Table1[[#This Row],[Impervious area  (acres)]]+20.691*Table1[[#This Row],[Total Pervious area (acres)]])+SQRT((3630*Table1[[#This Row],[Impervious area  (acres)]]+20.691*Table1[[#This Row],[Total Pervious area (acres)]])^2-(4*(996.798*Table1[[#This Row],[Total Pervious area (acres)]])*-Table1[[#This Row],[Previous storage volume (ft3)]])))/(2*(996.798*Table1[[#This Row],[Total Pervious area (acres)]])),IF(SUM(Table1[[#This Row],[Pervious HSG A]:[Pervious HSG D ]])=0,Table1[[#This Row],[Previous storage volume (ft3)]]/(-3630*Table1[[#This Row],[Impervious area  (acres)]]),(-(3630*Table1[[#This Row],[Impervious area  (acres)]]+20.691*Table1[[#This Row],[Pervious HSG D ]]-216.711*Table1[[#This Row],[Pervious HSG C]]-83.853*Table1[[#This Row],[Pervious HSG B]]-42.834*Table1[[#This Row],[Pervious HSG A]])+SQRT((3630*Table1[[#This Row],[Impervious area  (acres)]]+20.691*Table1[[#This Row],[Pervious HSG D ]]-216.711*Table1[[#This Row],[Pervious HSG C]]-83.853*Table1[[#This Row],[Pervious HSG B]]-42.834*Table1[[#This Row],[Pervious HSG A]])^2-(4*(149.919*Table1[[#This Row],[Pervious HSG A]]+236.676*Table1[[#This Row],[Pervious HSG B]]+726*Table1[[#This Row],[Pervious HSG C]]+996.798*Table1[[#This Row],[Pervious HSG D ]])*-Table1[[#This Row],[Previous storage volume (ft3)]])))/(2*(149.919*Table1[[#This Row],[Pervious HSG A]]+236.676*Table1[[#This Row],[Pervious HSG B]]+726*Table1[[#This Row],[Pervious HSG C]]+996.798*Table1[[#This Row],[Pervious HSG D ]])))))),"")</f>
        <v/>
      </c>
      <c r="BO439" s="19" t="str">
        <f>IFERROR((VLOOKUP(CONCATENATE(Table1[[#This Row],[BMP type prior to upgrade]]," ",Table1[[#This Row],[Infiltration rate prior to upgrade (in/hr)]]),'Performance Curves'!$C$1:$L$45,MATCH(Table1[[#This Row],[* Prior Storage Depth (inches)]],'Performance Curves'!$E$1:$L$1,1)+2,FALSE)-VLOOKUP(CONCATENATE(Table1[[#This Row],[BMP type prior to upgrade]]," ",Table1[[#This Row],[Infiltration rate prior to upgrade (in/hr)]]),'Performance Curves'!$C$1:$L$45,MATCH(Table1[[#This Row],[* Prior Storage Depth (inches)]],'Performance Curves'!$E$1:$L$1,1)+1,FALSE)),"")</f>
        <v/>
      </c>
      <c r="BP439" s="19" t="str">
        <f>IFERROR((Table1[[#This Row],[* Prior Storage Depth (inches)]]-INDEX('Performance Curves'!$E$1:$L$1,1,MATCH(Table1[[#This Row],[* Prior Storage Depth (inches)]],'Performance Curves'!$E$1:$L$1,1)))/(INDEX('Performance Curves'!$E$1:$L$1,1,MATCH(Table1[[#This Row],[* Prior Storage Depth (inches)]],'Performance Curves'!$E$1:$L$1,1)+1)-INDEX('Performance Curves'!$E$1:$L$1,1,MATCH(Table1[[#This Row],[* Prior Storage Depth (inches)]],'Performance Curves'!$E$1:$L$1,1))),"")</f>
        <v/>
      </c>
      <c r="BQ439" s="37" t="str">
        <f>IFERROR(IF(Table1[[#This Row],[* Prior Storage Depth (inches)]]=2,VLOOKUP(CONCATENATE(Table1[[#This Row],[BMP type prior to upgrade]]," ",Table1[[#This Row],[Infiltration rate prior to upgrade (in/hr)]]),'Performance Curves'!$C$1:$L$44,MATCH(Table1[[#This Row],[* Prior Storage Depth (inches)]],'Performance Curves'!$E$1:$L$1,1)+1,FALSE),Table1[[#This Row],[Upper Efficiency - Lower Efficiency4]]*Table1[[#This Row],[Percent of Storage Depth Step5]]+VLOOKUP(CONCATENATE(Table1[[#This Row],[BMP type prior to upgrade]]," ",Table1[[#This Row],[Infiltration rate prior to upgrade (in/hr)]]),'Performance Curves'!$C$1:$L$44,MATCH(Table1[[#This Row],[* Prior Storage Depth (inches)]],'Performance Curves'!$E$1:$L$1,1)+1,FALSE)),"")</f>
        <v/>
      </c>
      <c r="BR439" s="19" t="str">
        <f>IFERROR(Table1[[#This Row],[* Prior Practice Efficiency]]*Table1[[#This Row],[* Prior Load Before Treatment (kg/year)]],"")</f>
        <v/>
      </c>
      <c r="BT439" s="19"/>
    </row>
  </sheetData>
  <sheetProtection formatCells="0" formatColumns="0" formatRows="0" insertColumns="0" insertRows="0" deleteColumns="0" deleteRows="0" sort="0" autoFilter="0"/>
  <mergeCells count="3">
    <mergeCell ref="T1:V1"/>
    <mergeCell ref="W1:AO1"/>
    <mergeCell ref="BJ1:BR1"/>
  </mergeCells>
  <phoneticPr fontId="15" type="noConversion"/>
  <conditionalFormatting sqref="AX3:AX424 BA3:BA424">
    <cfRule type="expression" dxfId="4" priority="3">
      <formula>MOD(ROW(),2)=0</formula>
    </cfRule>
  </conditionalFormatting>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3">
        <x14:dataValidation type="list" allowBlank="1" showInputMessage="1" showErrorMessage="1" xr:uid="{EDD625E0-C2D1-48BD-990B-B1527B7671B6}">
          <x14:formula1>
            <xm:f>Dropdowns!$G$3:$G$16</xm:f>
          </x14:formula1>
          <xm:sqref>X223:X268 X270:X424</xm:sqref>
        </x14:dataValidation>
        <x14:dataValidation type="list" allowBlank="1" showInputMessage="1" showErrorMessage="1" xr:uid="{5999BCB4-7C6F-4DFE-8A73-4F02FDF74CEC}">
          <x14:formula1>
            <xm:f>Dropdowns!$G$3:$G$18</xm:f>
          </x14:formula1>
          <xm:sqref>X269</xm:sqref>
        </x14:dataValidation>
        <x14:dataValidation type="list" allowBlank="1" showInputMessage="1" showErrorMessage="1" xr:uid="{171E3BF8-2852-42E9-A8AB-C027186E52C6}">
          <x14:formula1>
            <xm:f>Dropdowns!$G$3:$G$17</xm:f>
          </x14:formula1>
          <xm:sqref>X3:X222</xm:sqref>
        </x14:dataValidation>
        <x14:dataValidation type="list" allowBlank="1" showInputMessage="1" showErrorMessage="1" xr:uid="{00000000-0002-0000-0100-000000000000}">
          <x14:formula1>
            <xm:f>Dropdowns!$B$3:$B$16</xm:f>
          </x14:formula1>
          <xm:sqref>D3:D424</xm:sqref>
        </x14:dataValidation>
        <x14:dataValidation type="list" allowBlank="1" showInputMessage="1" showErrorMessage="1" xr:uid="{00000000-0002-0000-0100-000003000000}">
          <x14:formula1>
            <xm:f>Dropdowns!$I$3:$I$7</xm:f>
          </x14:formula1>
          <xm:sqref>O3:O424</xm:sqref>
        </x14:dataValidation>
        <x14:dataValidation type="list" allowBlank="1" showInputMessage="1" showErrorMessage="1" xr:uid="{00000000-0002-0000-0100-000002000000}">
          <x14:formula1>
            <xm:f>Dropdowns!$G$3:$G$15</xm:f>
          </x14:formula1>
          <xm:sqref>BJ3:BJ424</xm:sqref>
        </x14:dataValidation>
        <x14:dataValidation type="list" allowBlank="1" showInputMessage="1" showErrorMessage="1" xr:uid="{DE8EA86C-61B2-44EB-96AA-A090DEE90D24}">
          <x14:formula1>
            <xm:f>Dropdowns!$N$3:$N$14</xm:f>
          </x14:formula1>
          <xm:sqref>V3:V424</xm:sqref>
        </x14:dataValidation>
        <x14:dataValidation type="list" allowBlank="1" showInputMessage="1" showErrorMessage="1" xr:uid="{D626CB16-31DB-4D4F-9B4B-9F09BA432C3E}">
          <x14:formula1>
            <xm:f>Dropdowns!$L$3:$L$4</xm:f>
          </x14:formula1>
          <xm:sqref>M3:M424 AZ3:AZ424 W3:W424</xm:sqref>
        </x14:dataValidation>
        <x14:dataValidation type="list" allowBlank="1" showInputMessage="1" showErrorMessage="1" xr:uid="{BE4E0D36-7E54-4C84-A0F8-095040DC7E8C}">
          <x14:formula1>
            <xm:f>'Performance Curves'!$B$3:$B$8</xm:f>
          </x14:formula1>
          <xm:sqref>AO3:AO424 BL3:BL424</xm:sqref>
        </x14:dataValidation>
        <x14:dataValidation type="list" allowBlank="1" showInputMessage="1" showErrorMessage="1" xr:uid="{AFCC3540-CD4B-40AC-9D8A-6313ADC8EF83}">
          <x14:formula1>
            <xm:f>Dropdowns!$S$3:$S$4</xm:f>
          </x14:formula1>
          <xm:sqref>AA3:AA424 BD3:BD424</xm:sqref>
        </x14:dataValidation>
        <x14:dataValidation type="list" allowBlank="1" showInputMessage="1" showErrorMessage="1" xr:uid="{22B06E70-1852-4DE0-B78C-0821E7063DFD}">
          <x14:formula1>
            <xm:f>Dropdowns!$P$3:$P$24</xm:f>
          </x14:formula1>
          <xm:sqref>U3:U424</xm:sqref>
        </x14:dataValidation>
        <x14:dataValidation type="list" allowBlank="1" showInputMessage="1" showErrorMessage="1" xr:uid="{00000000-0002-0000-0100-000001000000}">
          <x14:formula1>
            <xm:f>Dropdowns!$C$3:$C$15</xm:f>
          </x14:formula1>
          <xm:sqref>T3:T424</xm:sqref>
        </x14:dataValidation>
        <x14:dataValidation type="list" allowBlank="1" showInputMessage="1" showErrorMessage="1" xr:uid="{00000000-0002-0000-0100-000004000000}">
          <x14:formula1>
            <xm:f>Dropdowns!$L$3:$L$5</xm:f>
          </x14:formula1>
          <xm:sqref>AY3:AY439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5DA5A-F227-49E8-8087-456DFC928830}">
  <dimension ref="A1:L500"/>
  <sheetViews>
    <sheetView workbookViewId="0">
      <pane ySplit="2" topLeftCell="A3" activePane="bottomLeft" state="frozen"/>
      <selection pane="bottomLeft" activeCell="D35" sqref="C35:D35"/>
    </sheetView>
  </sheetViews>
  <sheetFormatPr defaultRowHeight="14.4"/>
  <cols>
    <col min="1" max="1" width="10.44140625" customWidth="1"/>
    <col min="2" max="2" width="45.33203125" customWidth="1"/>
    <col min="3" max="3" width="21.88671875" customWidth="1"/>
    <col min="4" max="4" width="22.33203125" customWidth="1"/>
    <col min="5" max="5" width="10.109375" customWidth="1"/>
    <col min="6" max="6" width="11.88671875" customWidth="1"/>
    <col min="7" max="7" width="16.6640625" customWidth="1"/>
    <col min="8" max="8" width="16.109375" customWidth="1"/>
    <col min="9" max="9" width="14.44140625" customWidth="1"/>
    <col min="10" max="10" width="36.5546875" customWidth="1"/>
    <col min="11" max="11" width="13.6640625" customWidth="1"/>
    <col min="12" max="12" width="11.6640625" bestFit="1" customWidth="1"/>
    <col min="13" max="13" width="12.109375" customWidth="1"/>
  </cols>
  <sheetData>
    <row r="1" spans="1:12" ht="15.6">
      <c r="A1" s="145" t="s">
        <v>27</v>
      </c>
      <c r="B1" s="144"/>
      <c r="C1" s="144"/>
      <c r="D1" s="144"/>
      <c r="E1" s="144"/>
      <c r="F1" s="144"/>
      <c r="G1" s="144"/>
      <c r="H1" s="144"/>
      <c r="I1" s="143" t="s">
        <v>664</v>
      </c>
      <c r="J1" s="142"/>
    </row>
    <row r="2" spans="1:12" ht="46.8">
      <c r="A2" s="141" t="s">
        <v>35</v>
      </c>
      <c r="B2" s="139" t="s">
        <v>36</v>
      </c>
      <c r="C2" s="139" t="s">
        <v>37</v>
      </c>
      <c r="D2" s="139" t="s">
        <v>38</v>
      </c>
      <c r="E2" s="140" t="s">
        <v>39</v>
      </c>
      <c r="F2" s="140" t="s">
        <v>40</v>
      </c>
      <c r="G2" s="139" t="s">
        <v>665</v>
      </c>
      <c r="H2" s="139" t="s">
        <v>47</v>
      </c>
      <c r="I2" s="138" t="s">
        <v>52</v>
      </c>
      <c r="J2" s="138" t="s">
        <v>53</v>
      </c>
    </row>
    <row r="3" spans="1:12">
      <c r="A3" s="135" t="s">
        <v>666</v>
      </c>
      <c r="B3" s="135" t="s">
        <v>667</v>
      </c>
      <c r="C3" s="135" t="s">
        <v>668</v>
      </c>
      <c r="D3" s="135" t="s">
        <v>669</v>
      </c>
      <c r="E3" s="137">
        <v>44.111109999999996</v>
      </c>
      <c r="F3" s="137">
        <v>-73.000020000000006</v>
      </c>
      <c r="G3" s="135" t="s">
        <v>670</v>
      </c>
      <c r="H3" s="136"/>
      <c r="I3" s="135"/>
      <c r="J3" s="134"/>
    </row>
    <row r="4" spans="1:12">
      <c r="A4" s="130"/>
      <c r="B4" s="130"/>
      <c r="C4" s="130"/>
      <c r="D4" s="130"/>
      <c r="E4" s="131"/>
      <c r="F4" s="131"/>
      <c r="G4" s="130"/>
      <c r="H4" s="130"/>
      <c r="I4" s="130"/>
      <c r="J4" s="133"/>
      <c r="K4" s="49"/>
      <c r="L4" s="43"/>
    </row>
    <row r="5" spans="1:12">
      <c r="A5" s="130"/>
      <c r="B5" s="130"/>
      <c r="C5" s="130"/>
      <c r="D5" s="130"/>
      <c r="E5" s="131"/>
      <c r="F5" s="131"/>
      <c r="G5" s="132"/>
      <c r="H5" s="132"/>
      <c r="I5" s="130"/>
      <c r="J5" s="130"/>
      <c r="K5" s="43"/>
      <c r="L5" s="43"/>
    </row>
    <row r="6" spans="1:12">
      <c r="A6" s="130"/>
      <c r="B6" s="130"/>
      <c r="C6" s="130"/>
      <c r="D6" s="130"/>
      <c r="E6" s="131"/>
      <c r="F6" s="131"/>
      <c r="G6" s="132"/>
      <c r="H6" s="132"/>
      <c r="I6" s="130"/>
      <c r="J6" s="130"/>
      <c r="K6" s="43"/>
      <c r="L6" s="43"/>
    </row>
    <row r="7" spans="1:12">
      <c r="A7" s="130"/>
      <c r="B7" s="130"/>
      <c r="C7" s="130"/>
      <c r="D7" s="130"/>
      <c r="E7" s="131"/>
      <c r="F7" s="131"/>
      <c r="G7" s="130"/>
      <c r="H7" s="130"/>
      <c r="I7" s="130"/>
      <c r="J7" s="130"/>
      <c r="K7" s="43"/>
      <c r="L7" s="43"/>
    </row>
    <row r="8" spans="1:12">
      <c r="A8" s="130"/>
      <c r="B8" s="130"/>
      <c r="C8" s="130"/>
      <c r="D8" s="130"/>
      <c r="E8" s="131"/>
      <c r="F8" s="131"/>
      <c r="G8" s="130"/>
      <c r="H8" s="130"/>
      <c r="I8" s="130"/>
      <c r="J8" s="130"/>
      <c r="K8" s="49"/>
      <c r="L8" s="43"/>
    </row>
    <row r="9" spans="1:12">
      <c r="A9" s="130"/>
      <c r="B9" s="130"/>
      <c r="C9" s="130"/>
      <c r="D9" s="130"/>
      <c r="E9" s="131"/>
      <c r="F9" s="131"/>
      <c r="G9" s="130"/>
      <c r="H9" s="130"/>
      <c r="I9" s="130"/>
      <c r="J9" s="130"/>
      <c r="K9" s="43"/>
      <c r="L9" s="43"/>
    </row>
    <row r="10" spans="1:12">
      <c r="A10" s="130"/>
      <c r="B10" s="130"/>
      <c r="C10" s="130"/>
      <c r="D10" s="130"/>
      <c r="E10" s="131"/>
      <c r="F10" s="131"/>
      <c r="G10" s="130"/>
      <c r="H10" s="130"/>
      <c r="I10" s="130"/>
      <c r="J10" s="130"/>
      <c r="K10" s="43"/>
      <c r="L10" s="43"/>
    </row>
    <row r="11" spans="1:12">
      <c r="A11" s="130"/>
      <c r="B11" s="130"/>
      <c r="C11" s="130"/>
      <c r="D11" s="130"/>
      <c r="E11" s="131"/>
      <c r="F11" s="131"/>
      <c r="G11" s="130"/>
      <c r="H11" s="130"/>
      <c r="I11" s="130"/>
      <c r="J11" s="130"/>
      <c r="K11" s="43"/>
      <c r="L11" s="43"/>
    </row>
    <row r="12" spans="1:12">
      <c r="A12" s="130"/>
      <c r="B12" s="130"/>
      <c r="C12" s="130"/>
      <c r="D12" s="130"/>
      <c r="E12" s="131"/>
      <c r="F12" s="131"/>
      <c r="G12" s="130"/>
      <c r="H12" s="130"/>
      <c r="I12" s="130"/>
      <c r="J12" s="130"/>
      <c r="K12" s="43"/>
      <c r="L12" s="43"/>
    </row>
    <row r="13" spans="1:12">
      <c r="A13" s="130"/>
      <c r="B13" s="130"/>
      <c r="C13" s="130"/>
      <c r="D13" s="130"/>
      <c r="E13" s="131"/>
      <c r="F13" s="131"/>
      <c r="G13" s="130"/>
      <c r="H13" s="130"/>
      <c r="I13" s="130"/>
      <c r="J13" s="130"/>
      <c r="K13" s="43"/>
      <c r="L13" s="43"/>
    </row>
    <row r="14" spans="1:12">
      <c r="A14" s="130"/>
      <c r="B14" s="130"/>
      <c r="C14" s="130"/>
      <c r="D14" s="130"/>
      <c r="E14" s="131"/>
      <c r="F14" s="131"/>
      <c r="G14" s="130"/>
      <c r="H14" s="130"/>
      <c r="I14" s="130"/>
      <c r="J14" s="130"/>
      <c r="K14" s="43"/>
      <c r="L14" s="43"/>
    </row>
    <row r="15" spans="1:12">
      <c r="A15" s="130"/>
      <c r="B15" s="130"/>
      <c r="C15" s="130"/>
      <c r="D15" s="130"/>
      <c r="E15" s="131"/>
      <c r="F15" s="131"/>
      <c r="G15" s="130"/>
      <c r="H15" s="130"/>
      <c r="I15" s="130"/>
      <c r="J15" s="130"/>
      <c r="K15" s="43"/>
      <c r="L15" s="43"/>
    </row>
    <row r="16" spans="1:12">
      <c r="A16" s="130"/>
      <c r="B16" s="130"/>
      <c r="C16" s="130"/>
      <c r="D16" s="130"/>
      <c r="E16" s="131"/>
      <c r="F16" s="131"/>
      <c r="G16" s="130"/>
      <c r="H16" s="130"/>
      <c r="I16" s="130"/>
      <c r="J16" s="130"/>
      <c r="K16" s="43"/>
      <c r="L16" s="43"/>
    </row>
    <row r="17" spans="1:12">
      <c r="A17" s="130"/>
      <c r="B17" s="130"/>
      <c r="C17" s="130"/>
      <c r="D17" s="130"/>
      <c r="E17" s="131"/>
      <c r="F17" s="131"/>
      <c r="G17" s="130"/>
      <c r="H17" s="130"/>
      <c r="I17" s="130"/>
      <c r="J17" s="130"/>
      <c r="K17" s="43"/>
      <c r="L17" s="43"/>
    </row>
    <row r="18" spans="1:12">
      <c r="A18" s="130"/>
      <c r="B18" s="130"/>
      <c r="C18" s="130"/>
      <c r="D18" s="130"/>
      <c r="E18" s="131"/>
      <c r="F18" s="131"/>
      <c r="G18" s="130"/>
      <c r="H18" s="130"/>
      <c r="I18" s="130"/>
      <c r="J18" s="130"/>
      <c r="K18" s="43"/>
      <c r="L18" s="43"/>
    </row>
    <row r="19" spans="1:12">
      <c r="A19" s="130"/>
      <c r="B19" s="130"/>
      <c r="C19" s="130"/>
      <c r="D19" s="130"/>
      <c r="E19" s="131"/>
      <c r="F19" s="131"/>
      <c r="G19" s="130"/>
      <c r="H19" s="130"/>
      <c r="I19" s="130"/>
      <c r="J19" s="130"/>
      <c r="K19" s="43"/>
      <c r="L19" s="43"/>
    </row>
    <row r="20" spans="1:12">
      <c r="A20" s="130"/>
      <c r="B20" s="130"/>
      <c r="C20" s="130"/>
      <c r="D20" s="130"/>
      <c r="E20" s="131"/>
      <c r="F20" s="131"/>
      <c r="G20" s="130"/>
      <c r="H20" s="130"/>
      <c r="I20" s="130"/>
      <c r="J20" s="130"/>
      <c r="K20" s="43"/>
      <c r="L20" s="43"/>
    </row>
    <row r="21" spans="1:12">
      <c r="A21" s="130"/>
      <c r="B21" s="130"/>
      <c r="C21" s="130"/>
      <c r="D21" s="130"/>
      <c r="E21" s="131"/>
      <c r="F21" s="131"/>
      <c r="G21" s="130"/>
      <c r="H21" s="130"/>
      <c r="I21" s="130"/>
      <c r="J21" s="130"/>
      <c r="K21" s="43"/>
      <c r="L21" s="43"/>
    </row>
    <row r="22" spans="1:12">
      <c r="A22" s="130"/>
      <c r="B22" s="130"/>
      <c r="C22" s="130"/>
      <c r="D22" s="130"/>
      <c r="E22" s="131"/>
      <c r="F22" s="131"/>
      <c r="G22" s="130"/>
      <c r="H22" s="130"/>
      <c r="I22" s="130"/>
      <c r="J22" s="130"/>
      <c r="K22" s="43"/>
      <c r="L22" s="43"/>
    </row>
    <row r="23" spans="1:12">
      <c r="A23" s="130"/>
      <c r="B23" s="130"/>
      <c r="C23" s="130"/>
      <c r="D23" s="130"/>
      <c r="E23" s="131"/>
      <c r="F23" s="131"/>
      <c r="G23" s="130"/>
      <c r="H23" s="130"/>
      <c r="I23" s="130"/>
      <c r="J23" s="130"/>
      <c r="K23" s="43"/>
      <c r="L23" s="43"/>
    </row>
    <row r="24" spans="1:12">
      <c r="A24" s="130"/>
      <c r="B24" s="130"/>
      <c r="C24" s="130"/>
      <c r="D24" s="130"/>
      <c r="E24" s="131"/>
      <c r="F24" s="131"/>
      <c r="G24" s="130"/>
      <c r="H24" s="130"/>
      <c r="I24" s="130"/>
      <c r="J24" s="130"/>
      <c r="K24" s="43"/>
      <c r="L24" s="43"/>
    </row>
    <row r="25" spans="1:12">
      <c r="A25" s="130"/>
      <c r="B25" s="130"/>
      <c r="C25" s="130"/>
      <c r="D25" s="130"/>
      <c r="E25" s="131"/>
      <c r="F25" s="131"/>
      <c r="G25" s="130"/>
      <c r="H25" s="130"/>
      <c r="I25" s="130"/>
      <c r="J25" s="130"/>
      <c r="K25" s="43"/>
      <c r="L25" s="43"/>
    </row>
    <row r="26" spans="1:12">
      <c r="A26" s="130"/>
      <c r="B26" s="130"/>
      <c r="C26" s="130"/>
      <c r="D26" s="130"/>
      <c r="E26" s="131"/>
      <c r="F26" s="131"/>
      <c r="G26" s="130"/>
      <c r="H26" s="130"/>
      <c r="I26" s="130"/>
      <c r="J26" s="130"/>
      <c r="K26" s="43"/>
      <c r="L26" s="43"/>
    </row>
    <row r="27" spans="1:12">
      <c r="A27" s="130"/>
      <c r="B27" s="130"/>
      <c r="C27" s="130"/>
      <c r="D27" s="130"/>
      <c r="E27" s="131"/>
      <c r="F27" s="131"/>
      <c r="G27" s="130"/>
      <c r="H27" s="130"/>
      <c r="I27" s="130"/>
      <c r="J27" s="130"/>
      <c r="K27" s="43"/>
      <c r="L27" s="43"/>
    </row>
    <row r="28" spans="1:12">
      <c r="A28" s="130"/>
      <c r="B28" s="130"/>
      <c r="C28" s="130"/>
      <c r="D28" s="130"/>
      <c r="E28" s="131"/>
      <c r="F28" s="131"/>
      <c r="G28" s="130"/>
      <c r="H28" s="130"/>
      <c r="I28" s="130"/>
      <c r="J28" s="130"/>
      <c r="K28" s="43"/>
      <c r="L28" s="43"/>
    </row>
    <row r="29" spans="1:12">
      <c r="A29" s="130"/>
      <c r="B29" s="130"/>
      <c r="C29" s="130"/>
      <c r="D29" s="130"/>
      <c r="E29" s="131"/>
      <c r="F29" s="131"/>
      <c r="G29" s="130"/>
      <c r="H29" s="130"/>
      <c r="I29" s="130"/>
      <c r="J29" s="130"/>
      <c r="K29" s="43"/>
      <c r="L29" s="43"/>
    </row>
    <row r="30" spans="1:12">
      <c r="A30" s="130"/>
      <c r="B30" s="130"/>
      <c r="C30" s="130"/>
      <c r="D30" s="130"/>
      <c r="E30" s="131"/>
      <c r="F30" s="131"/>
      <c r="G30" s="130"/>
      <c r="H30" s="130"/>
      <c r="I30" s="130"/>
      <c r="J30" s="130"/>
      <c r="K30" s="43"/>
      <c r="L30" s="43"/>
    </row>
    <row r="31" spans="1:12">
      <c r="A31" s="130"/>
      <c r="B31" s="130"/>
      <c r="C31" s="130"/>
      <c r="D31" s="130"/>
      <c r="E31" s="131"/>
      <c r="F31" s="131"/>
      <c r="G31" s="130"/>
      <c r="H31" s="130"/>
      <c r="I31" s="130"/>
      <c r="J31" s="130"/>
      <c r="K31" s="43"/>
      <c r="L31" s="43"/>
    </row>
    <row r="32" spans="1:12">
      <c r="A32" s="130"/>
      <c r="B32" s="130"/>
      <c r="C32" s="130"/>
      <c r="D32" s="130"/>
      <c r="E32" s="131"/>
      <c r="F32" s="131"/>
      <c r="G32" s="130"/>
      <c r="H32" s="130"/>
      <c r="I32" s="130"/>
      <c r="J32" s="130"/>
      <c r="K32" s="43"/>
      <c r="L32" s="43"/>
    </row>
    <row r="33" spans="1:12">
      <c r="A33" s="130"/>
      <c r="B33" s="130"/>
      <c r="C33" s="130"/>
      <c r="D33" s="130"/>
      <c r="E33" s="131"/>
      <c r="F33" s="131"/>
      <c r="G33" s="130"/>
      <c r="H33" s="130"/>
      <c r="I33" s="130"/>
      <c r="J33" s="130"/>
      <c r="K33" s="43"/>
      <c r="L33" s="43"/>
    </row>
    <row r="34" spans="1:12">
      <c r="A34" s="130"/>
      <c r="B34" s="130"/>
      <c r="C34" s="130"/>
      <c r="D34" s="130"/>
      <c r="E34" s="131"/>
      <c r="F34" s="131"/>
      <c r="G34" s="130"/>
      <c r="H34" s="130"/>
      <c r="I34" s="130"/>
      <c r="J34" s="130"/>
      <c r="K34" s="43"/>
      <c r="L34" s="43"/>
    </row>
    <row r="35" spans="1:12">
      <c r="A35" s="130"/>
      <c r="B35" s="130"/>
      <c r="C35" s="130"/>
      <c r="D35" s="130"/>
      <c r="E35" s="131"/>
      <c r="F35" s="131"/>
      <c r="G35" s="130"/>
      <c r="H35" s="130"/>
      <c r="I35" s="130"/>
      <c r="J35" s="130"/>
      <c r="K35" s="43"/>
      <c r="L35" s="43"/>
    </row>
    <row r="36" spans="1:12">
      <c r="A36" s="130"/>
      <c r="B36" s="130"/>
      <c r="C36" s="130"/>
      <c r="D36" s="130"/>
      <c r="E36" s="131"/>
      <c r="F36" s="131"/>
      <c r="G36" s="130"/>
      <c r="H36" s="130"/>
      <c r="I36" s="130"/>
      <c r="J36" s="130"/>
      <c r="K36" s="43"/>
      <c r="L36" s="43"/>
    </row>
    <row r="37" spans="1:12">
      <c r="A37" s="130"/>
      <c r="B37" s="130"/>
      <c r="C37" s="130"/>
      <c r="D37" s="130"/>
      <c r="E37" s="131"/>
      <c r="F37" s="131"/>
      <c r="G37" s="130"/>
      <c r="H37" s="130"/>
      <c r="I37" s="130"/>
      <c r="J37" s="130"/>
      <c r="K37" s="43"/>
      <c r="L37" s="43"/>
    </row>
    <row r="38" spans="1:12">
      <c r="A38" s="130"/>
      <c r="B38" s="130"/>
      <c r="C38" s="130"/>
      <c r="D38" s="130"/>
      <c r="E38" s="131"/>
      <c r="F38" s="131"/>
      <c r="G38" s="130"/>
      <c r="H38" s="130"/>
      <c r="I38" s="130"/>
      <c r="J38" s="130"/>
      <c r="K38" s="43"/>
      <c r="L38" s="43"/>
    </row>
    <row r="39" spans="1:12">
      <c r="A39" s="130"/>
      <c r="B39" s="130"/>
      <c r="C39" s="130"/>
      <c r="D39" s="130"/>
      <c r="E39" s="131"/>
      <c r="F39" s="131"/>
      <c r="G39" s="130"/>
      <c r="H39" s="130"/>
      <c r="I39" s="130"/>
      <c r="J39" s="130"/>
      <c r="K39" s="43"/>
      <c r="L39" s="43"/>
    </row>
    <row r="40" spans="1:12">
      <c r="A40" s="130"/>
      <c r="B40" s="130"/>
      <c r="C40" s="130"/>
      <c r="D40" s="130"/>
      <c r="E40" s="131"/>
      <c r="F40" s="131"/>
      <c r="G40" s="130"/>
      <c r="H40" s="130"/>
      <c r="I40" s="130"/>
      <c r="J40" s="130"/>
      <c r="K40" s="43"/>
      <c r="L40" s="43"/>
    </row>
    <row r="41" spans="1:12">
      <c r="A41" s="130"/>
      <c r="B41" s="130"/>
      <c r="C41" s="130"/>
      <c r="D41" s="130"/>
      <c r="E41" s="131"/>
      <c r="F41" s="131"/>
      <c r="G41" s="130"/>
      <c r="H41" s="130"/>
      <c r="I41" s="130"/>
      <c r="J41" s="130"/>
      <c r="K41" s="43"/>
      <c r="L41" s="43"/>
    </row>
    <row r="42" spans="1:12">
      <c r="A42" s="130"/>
      <c r="B42" s="130"/>
      <c r="C42" s="130"/>
      <c r="D42" s="130"/>
      <c r="E42" s="131"/>
      <c r="F42" s="131"/>
      <c r="G42" s="130"/>
      <c r="H42" s="130"/>
      <c r="I42" s="130"/>
      <c r="J42" s="130"/>
      <c r="K42" s="43"/>
      <c r="L42" s="43"/>
    </row>
    <row r="43" spans="1:12">
      <c r="A43" s="130"/>
      <c r="B43" s="130"/>
      <c r="C43" s="130"/>
      <c r="D43" s="130"/>
      <c r="E43" s="131"/>
      <c r="F43" s="131"/>
      <c r="G43" s="130"/>
      <c r="H43" s="130"/>
      <c r="I43" s="130"/>
      <c r="J43" s="130"/>
      <c r="K43" s="43"/>
      <c r="L43" s="43"/>
    </row>
    <row r="44" spans="1:12">
      <c r="A44" s="130"/>
      <c r="B44" s="130"/>
      <c r="C44" s="130"/>
      <c r="D44" s="130"/>
      <c r="E44" s="131"/>
      <c r="F44" s="131"/>
      <c r="G44" s="130"/>
      <c r="H44" s="130"/>
      <c r="I44" s="130"/>
      <c r="J44" s="130"/>
      <c r="K44" s="43"/>
      <c r="L44" s="43"/>
    </row>
    <row r="45" spans="1:12">
      <c r="A45" s="130"/>
      <c r="B45" s="130"/>
      <c r="C45" s="130"/>
      <c r="D45" s="130"/>
      <c r="E45" s="131"/>
      <c r="F45" s="131"/>
      <c r="G45" s="130"/>
      <c r="H45" s="130"/>
      <c r="I45" s="130"/>
      <c r="J45" s="130"/>
      <c r="K45" s="43"/>
      <c r="L45" s="43"/>
    </row>
    <row r="46" spans="1:12">
      <c r="A46" s="130"/>
      <c r="B46" s="130"/>
      <c r="C46" s="130"/>
      <c r="D46" s="130"/>
      <c r="E46" s="131"/>
      <c r="F46" s="131"/>
      <c r="G46" s="130"/>
      <c r="H46" s="130"/>
      <c r="I46" s="130"/>
      <c r="J46" s="130"/>
      <c r="K46" s="43"/>
      <c r="L46" s="43"/>
    </row>
    <row r="47" spans="1:12">
      <c r="A47" s="130"/>
      <c r="B47" s="130"/>
      <c r="C47" s="130"/>
      <c r="D47" s="130"/>
      <c r="E47" s="131"/>
      <c r="F47" s="131"/>
      <c r="G47" s="130"/>
      <c r="H47" s="130"/>
      <c r="I47" s="130"/>
      <c r="J47" s="130"/>
      <c r="K47" s="43"/>
      <c r="L47" s="43"/>
    </row>
    <row r="48" spans="1:12">
      <c r="A48" s="130"/>
      <c r="B48" s="130"/>
      <c r="C48" s="130"/>
      <c r="D48" s="130"/>
      <c r="E48" s="131"/>
      <c r="F48" s="131"/>
      <c r="G48" s="130"/>
      <c r="H48" s="130"/>
      <c r="I48" s="130"/>
      <c r="J48" s="130"/>
      <c r="K48" s="43"/>
      <c r="L48" s="43"/>
    </row>
    <row r="49" spans="1:12">
      <c r="A49" s="130"/>
      <c r="B49" s="130"/>
      <c r="C49" s="130"/>
      <c r="D49" s="130"/>
      <c r="E49" s="131"/>
      <c r="F49" s="131"/>
      <c r="G49" s="130"/>
      <c r="H49" s="130"/>
      <c r="I49" s="130"/>
      <c r="J49" s="130"/>
      <c r="K49" s="43"/>
      <c r="L49" s="43"/>
    </row>
    <row r="50" spans="1:12">
      <c r="A50" s="130"/>
      <c r="B50" s="130"/>
      <c r="C50" s="130"/>
      <c r="D50" s="130"/>
      <c r="E50" s="131"/>
      <c r="F50" s="131"/>
      <c r="G50" s="130"/>
      <c r="H50" s="130"/>
      <c r="I50" s="130"/>
      <c r="J50" s="130"/>
      <c r="K50" s="43"/>
      <c r="L50" s="43"/>
    </row>
    <row r="51" spans="1:12">
      <c r="A51" s="130"/>
      <c r="B51" s="130"/>
      <c r="C51" s="130"/>
      <c r="D51" s="130"/>
      <c r="E51" s="131"/>
      <c r="F51" s="131"/>
      <c r="G51" s="130"/>
      <c r="H51" s="130"/>
      <c r="I51" s="130"/>
      <c r="J51" s="130"/>
      <c r="K51" s="43"/>
      <c r="L51" s="43"/>
    </row>
    <row r="52" spans="1:12">
      <c r="A52" s="130"/>
      <c r="B52" s="130"/>
      <c r="C52" s="130"/>
      <c r="D52" s="130"/>
      <c r="E52" s="131"/>
      <c r="F52" s="131"/>
      <c r="G52" s="130"/>
      <c r="H52" s="130"/>
      <c r="I52" s="130"/>
      <c r="J52" s="130"/>
      <c r="K52" s="43"/>
      <c r="L52" s="43"/>
    </row>
    <row r="53" spans="1:12">
      <c r="A53" s="130"/>
      <c r="B53" s="130"/>
      <c r="C53" s="130"/>
      <c r="D53" s="130"/>
      <c r="E53" s="131"/>
      <c r="F53" s="131"/>
      <c r="G53" s="130"/>
      <c r="H53" s="130"/>
      <c r="I53" s="130"/>
      <c r="J53" s="130"/>
      <c r="K53" s="43"/>
      <c r="L53" s="43"/>
    </row>
    <row r="54" spans="1:12">
      <c r="A54" s="130"/>
      <c r="B54" s="130"/>
      <c r="C54" s="130"/>
      <c r="D54" s="130"/>
      <c r="E54" s="131"/>
      <c r="F54" s="131"/>
      <c r="G54" s="130"/>
      <c r="H54" s="130"/>
      <c r="I54" s="130"/>
      <c r="J54" s="130"/>
      <c r="K54" s="43"/>
      <c r="L54" s="43"/>
    </row>
    <row r="55" spans="1:12">
      <c r="A55" s="130"/>
      <c r="B55" s="130"/>
      <c r="C55" s="130"/>
      <c r="D55" s="130"/>
      <c r="E55" s="131"/>
      <c r="F55" s="131"/>
      <c r="G55" s="130"/>
      <c r="H55" s="130"/>
      <c r="I55" s="130"/>
      <c r="J55" s="130"/>
      <c r="K55" s="43"/>
      <c r="L55" s="43"/>
    </row>
    <row r="56" spans="1:12">
      <c r="A56" s="130"/>
      <c r="B56" s="130"/>
      <c r="C56" s="130"/>
      <c r="D56" s="130"/>
      <c r="E56" s="131"/>
      <c r="F56" s="131"/>
      <c r="G56" s="130"/>
      <c r="H56" s="130"/>
      <c r="I56" s="130"/>
      <c r="J56" s="130"/>
      <c r="K56" s="43"/>
      <c r="L56" s="43"/>
    </row>
    <row r="57" spans="1:12">
      <c r="A57" s="130"/>
      <c r="B57" s="130"/>
      <c r="C57" s="130"/>
      <c r="D57" s="130"/>
      <c r="E57" s="131"/>
      <c r="F57" s="131"/>
      <c r="G57" s="130"/>
      <c r="H57" s="130"/>
      <c r="I57" s="130"/>
      <c r="J57" s="130"/>
      <c r="K57" s="43"/>
      <c r="L57" s="43"/>
    </row>
    <row r="58" spans="1:12">
      <c r="A58" s="130"/>
      <c r="B58" s="130"/>
      <c r="C58" s="130"/>
      <c r="D58" s="130"/>
      <c r="E58" s="131"/>
      <c r="F58" s="131"/>
      <c r="G58" s="130"/>
      <c r="H58" s="130"/>
      <c r="I58" s="130"/>
      <c r="J58" s="130"/>
      <c r="K58" s="43"/>
      <c r="L58" s="43"/>
    </row>
    <row r="59" spans="1:12">
      <c r="A59" s="130"/>
      <c r="B59" s="130"/>
      <c r="C59" s="130"/>
      <c r="D59" s="130"/>
      <c r="E59" s="131"/>
      <c r="F59" s="131"/>
      <c r="G59" s="130"/>
      <c r="H59" s="130"/>
      <c r="I59" s="130"/>
      <c r="J59" s="130"/>
      <c r="K59" s="43"/>
      <c r="L59" s="43"/>
    </row>
    <row r="60" spans="1:12">
      <c r="A60" s="130"/>
      <c r="B60" s="130"/>
      <c r="C60" s="130"/>
      <c r="D60" s="130"/>
      <c r="E60" s="131"/>
      <c r="F60" s="131"/>
      <c r="G60" s="130"/>
      <c r="H60" s="130"/>
      <c r="I60" s="130"/>
      <c r="J60" s="130"/>
      <c r="K60" s="43"/>
      <c r="L60" s="43"/>
    </row>
    <row r="61" spans="1:12">
      <c r="A61" s="130"/>
      <c r="B61" s="130"/>
      <c r="C61" s="130"/>
      <c r="D61" s="130"/>
      <c r="E61" s="131"/>
      <c r="F61" s="131"/>
      <c r="G61" s="130"/>
      <c r="H61" s="130"/>
      <c r="I61" s="130"/>
      <c r="J61" s="130"/>
      <c r="K61" s="43"/>
      <c r="L61" s="43"/>
    </row>
    <row r="62" spans="1:12">
      <c r="A62" s="130"/>
      <c r="B62" s="130"/>
      <c r="C62" s="130"/>
      <c r="D62" s="130"/>
      <c r="E62" s="131"/>
      <c r="F62" s="131"/>
      <c r="G62" s="130"/>
      <c r="H62" s="130"/>
      <c r="I62" s="130"/>
      <c r="J62" s="130"/>
      <c r="K62" s="43"/>
      <c r="L62" s="43"/>
    </row>
    <row r="63" spans="1:12">
      <c r="A63" s="130"/>
      <c r="B63" s="130"/>
      <c r="C63" s="130"/>
      <c r="D63" s="130"/>
      <c r="E63" s="131"/>
      <c r="F63" s="131"/>
      <c r="G63" s="130"/>
      <c r="H63" s="130"/>
      <c r="I63" s="130"/>
      <c r="J63" s="130"/>
      <c r="K63" s="43"/>
      <c r="L63" s="43"/>
    </row>
    <row r="64" spans="1:12">
      <c r="A64" s="130"/>
      <c r="B64" s="130"/>
      <c r="C64" s="130"/>
      <c r="D64" s="130"/>
      <c r="E64" s="131"/>
      <c r="F64" s="131"/>
      <c r="G64" s="130"/>
      <c r="H64" s="130"/>
      <c r="I64" s="130"/>
      <c r="J64" s="130"/>
      <c r="K64" s="43"/>
      <c r="L64" s="43"/>
    </row>
    <row r="65" spans="1:12">
      <c r="A65" s="130"/>
      <c r="B65" s="130"/>
      <c r="C65" s="130"/>
      <c r="D65" s="130"/>
      <c r="E65" s="131"/>
      <c r="F65" s="131"/>
      <c r="G65" s="130"/>
      <c r="H65" s="130"/>
      <c r="I65" s="130"/>
      <c r="J65" s="130"/>
      <c r="K65" s="43"/>
      <c r="L65" s="43"/>
    </row>
    <row r="66" spans="1:12">
      <c r="A66" s="130"/>
      <c r="B66" s="130"/>
      <c r="C66" s="130"/>
      <c r="D66" s="130"/>
      <c r="E66" s="131"/>
      <c r="F66" s="131"/>
      <c r="G66" s="130"/>
      <c r="H66" s="130"/>
      <c r="I66" s="130"/>
      <c r="J66" s="130"/>
      <c r="K66" s="43"/>
      <c r="L66" s="43"/>
    </row>
    <row r="67" spans="1:12">
      <c r="A67" s="130"/>
      <c r="B67" s="130"/>
      <c r="C67" s="130"/>
      <c r="D67" s="130"/>
      <c r="E67" s="131"/>
      <c r="F67" s="131"/>
      <c r="G67" s="130"/>
      <c r="H67" s="130"/>
      <c r="I67" s="130"/>
      <c r="J67" s="130"/>
      <c r="K67" s="43"/>
      <c r="L67" s="43"/>
    </row>
    <row r="68" spans="1:12">
      <c r="A68" s="130"/>
      <c r="B68" s="130"/>
      <c r="C68" s="130"/>
      <c r="D68" s="130"/>
      <c r="E68" s="131"/>
      <c r="F68" s="131"/>
      <c r="G68" s="130"/>
      <c r="H68" s="130"/>
      <c r="I68" s="130"/>
      <c r="J68" s="130"/>
      <c r="K68" s="43"/>
      <c r="L68" s="43"/>
    </row>
    <row r="69" spans="1:12">
      <c r="A69" s="130"/>
      <c r="B69" s="130"/>
      <c r="C69" s="130"/>
      <c r="D69" s="130"/>
      <c r="E69" s="131"/>
      <c r="F69" s="131"/>
      <c r="G69" s="130"/>
      <c r="H69" s="130"/>
      <c r="I69" s="130"/>
      <c r="J69" s="130"/>
      <c r="K69" s="43"/>
      <c r="L69" s="43"/>
    </row>
    <row r="70" spans="1:12">
      <c r="A70" s="130"/>
      <c r="B70" s="130"/>
      <c r="C70" s="130"/>
      <c r="D70" s="130"/>
      <c r="E70" s="131"/>
      <c r="F70" s="131"/>
      <c r="G70" s="130"/>
      <c r="H70" s="130"/>
      <c r="I70" s="130"/>
      <c r="J70" s="130"/>
      <c r="K70" s="43"/>
      <c r="L70" s="43"/>
    </row>
    <row r="71" spans="1:12">
      <c r="A71" s="130"/>
      <c r="B71" s="130"/>
      <c r="C71" s="130"/>
      <c r="D71" s="130"/>
      <c r="E71" s="131"/>
      <c r="F71" s="131"/>
      <c r="G71" s="130"/>
      <c r="H71" s="130"/>
      <c r="I71" s="130"/>
      <c r="J71" s="130"/>
      <c r="K71" s="43"/>
      <c r="L71" s="43"/>
    </row>
    <row r="72" spans="1:12">
      <c r="A72" s="130"/>
      <c r="B72" s="130"/>
      <c r="C72" s="130"/>
      <c r="D72" s="130"/>
      <c r="E72" s="131"/>
      <c r="F72" s="131"/>
      <c r="G72" s="130"/>
      <c r="H72" s="130"/>
      <c r="I72" s="130"/>
      <c r="J72" s="130"/>
      <c r="K72" s="43"/>
      <c r="L72" s="43"/>
    </row>
    <row r="73" spans="1:12">
      <c r="A73" s="130"/>
      <c r="B73" s="130"/>
      <c r="C73" s="130"/>
      <c r="D73" s="130"/>
      <c r="E73" s="131"/>
      <c r="F73" s="131"/>
      <c r="G73" s="130"/>
      <c r="H73" s="130"/>
      <c r="I73" s="130"/>
      <c r="J73" s="130"/>
      <c r="K73" s="43"/>
      <c r="L73" s="43"/>
    </row>
    <row r="74" spans="1:12">
      <c r="A74" s="130"/>
      <c r="B74" s="130"/>
      <c r="C74" s="130"/>
      <c r="D74" s="130"/>
      <c r="E74" s="131"/>
      <c r="F74" s="131"/>
      <c r="G74" s="130"/>
      <c r="H74" s="130"/>
      <c r="I74" s="130"/>
      <c r="J74" s="130"/>
      <c r="K74" s="43"/>
      <c r="L74" s="43"/>
    </row>
    <row r="75" spans="1:12">
      <c r="A75" s="130"/>
      <c r="B75" s="130"/>
      <c r="C75" s="130"/>
      <c r="D75" s="130"/>
      <c r="E75" s="131"/>
      <c r="F75" s="131"/>
      <c r="G75" s="130"/>
      <c r="H75" s="130"/>
      <c r="I75" s="130"/>
      <c r="J75" s="130"/>
      <c r="K75" s="43"/>
      <c r="L75" s="43"/>
    </row>
    <row r="76" spans="1:12">
      <c r="A76" s="130"/>
      <c r="B76" s="130"/>
      <c r="C76" s="130"/>
      <c r="D76" s="130"/>
      <c r="E76" s="131"/>
      <c r="F76" s="131"/>
      <c r="G76" s="130"/>
      <c r="H76" s="130"/>
      <c r="I76" s="130"/>
      <c r="J76" s="130"/>
      <c r="K76" s="43"/>
      <c r="L76" s="43"/>
    </row>
    <row r="77" spans="1:12">
      <c r="A77" s="130"/>
      <c r="B77" s="130"/>
      <c r="C77" s="130"/>
      <c r="D77" s="130"/>
      <c r="E77" s="131"/>
      <c r="F77" s="131"/>
      <c r="G77" s="130"/>
      <c r="H77" s="130"/>
      <c r="I77" s="130"/>
      <c r="J77" s="130"/>
      <c r="K77" s="43"/>
      <c r="L77" s="43"/>
    </row>
    <row r="78" spans="1:12">
      <c r="A78" s="130"/>
      <c r="B78" s="130"/>
      <c r="C78" s="130"/>
      <c r="D78" s="130"/>
      <c r="E78" s="131"/>
      <c r="F78" s="131"/>
      <c r="G78" s="130"/>
      <c r="H78" s="130"/>
      <c r="I78" s="130"/>
      <c r="J78" s="130"/>
      <c r="K78" s="43"/>
      <c r="L78" s="43"/>
    </row>
    <row r="79" spans="1:12">
      <c r="A79" s="130"/>
      <c r="B79" s="130"/>
      <c r="C79" s="130"/>
      <c r="D79" s="130"/>
      <c r="E79" s="131"/>
      <c r="F79" s="131"/>
      <c r="G79" s="130"/>
      <c r="H79" s="130"/>
      <c r="I79" s="130"/>
      <c r="J79" s="130"/>
      <c r="K79" s="43"/>
      <c r="L79" s="43"/>
    </row>
    <row r="80" spans="1:12">
      <c r="A80" s="130"/>
      <c r="B80" s="130"/>
      <c r="C80" s="130"/>
      <c r="D80" s="130"/>
      <c r="E80" s="131"/>
      <c r="F80" s="131"/>
      <c r="G80" s="130"/>
      <c r="H80" s="130"/>
      <c r="I80" s="130"/>
      <c r="J80" s="130"/>
      <c r="K80" s="43"/>
      <c r="L80" s="43"/>
    </row>
    <row r="81" spans="1:12">
      <c r="A81" s="130"/>
      <c r="B81" s="130"/>
      <c r="C81" s="130"/>
      <c r="D81" s="130"/>
      <c r="E81" s="131"/>
      <c r="F81" s="131"/>
      <c r="G81" s="130"/>
      <c r="H81" s="130"/>
      <c r="I81" s="130"/>
      <c r="J81" s="130"/>
      <c r="K81" s="43"/>
      <c r="L81" s="43"/>
    </row>
    <row r="82" spans="1:12">
      <c r="A82" s="130"/>
      <c r="B82" s="130"/>
      <c r="C82" s="130"/>
      <c r="D82" s="130"/>
      <c r="E82" s="131"/>
      <c r="F82" s="131"/>
      <c r="G82" s="130"/>
      <c r="H82" s="130"/>
      <c r="I82" s="130"/>
      <c r="J82" s="130"/>
      <c r="K82" s="43"/>
      <c r="L82" s="43"/>
    </row>
    <row r="83" spans="1:12">
      <c r="A83" s="130"/>
      <c r="B83" s="130"/>
      <c r="C83" s="130"/>
      <c r="D83" s="130"/>
      <c r="E83" s="131"/>
      <c r="F83" s="131"/>
      <c r="G83" s="130"/>
      <c r="H83" s="130"/>
      <c r="I83" s="130"/>
      <c r="J83" s="130"/>
      <c r="K83" s="43"/>
      <c r="L83" s="43"/>
    </row>
    <row r="84" spans="1:12">
      <c r="A84" s="130"/>
      <c r="B84" s="130"/>
      <c r="C84" s="130"/>
      <c r="D84" s="130"/>
      <c r="E84" s="131"/>
      <c r="F84" s="131"/>
      <c r="G84" s="130"/>
      <c r="H84" s="130"/>
      <c r="I84" s="130"/>
      <c r="J84" s="130"/>
      <c r="K84" s="43"/>
      <c r="L84" s="43"/>
    </row>
    <row r="85" spans="1:12">
      <c r="A85" s="130"/>
      <c r="B85" s="130"/>
      <c r="C85" s="130"/>
      <c r="D85" s="130"/>
      <c r="E85" s="131"/>
      <c r="F85" s="131"/>
      <c r="G85" s="130"/>
      <c r="H85" s="130"/>
      <c r="I85" s="130"/>
      <c r="J85" s="130"/>
      <c r="K85" s="43"/>
      <c r="L85" s="43"/>
    </row>
    <row r="86" spans="1:12">
      <c r="A86" s="130"/>
      <c r="B86" s="130"/>
      <c r="C86" s="130"/>
      <c r="D86" s="130"/>
      <c r="E86" s="131"/>
      <c r="F86" s="131"/>
      <c r="G86" s="130"/>
      <c r="H86" s="130"/>
      <c r="I86" s="130"/>
      <c r="J86" s="130"/>
      <c r="K86" s="43"/>
      <c r="L86" s="43"/>
    </row>
    <row r="87" spans="1:12">
      <c r="A87" s="130"/>
      <c r="B87" s="130"/>
      <c r="C87" s="130"/>
      <c r="D87" s="130"/>
      <c r="E87" s="131"/>
      <c r="F87" s="131"/>
      <c r="G87" s="130"/>
      <c r="H87" s="130"/>
      <c r="I87" s="130"/>
      <c r="J87" s="130"/>
      <c r="K87" s="43"/>
      <c r="L87" s="43"/>
    </row>
    <row r="88" spans="1:12">
      <c r="A88" s="130"/>
      <c r="B88" s="130"/>
      <c r="C88" s="130"/>
      <c r="D88" s="130"/>
      <c r="E88" s="131"/>
      <c r="F88" s="131"/>
      <c r="G88" s="130"/>
      <c r="H88" s="130"/>
      <c r="I88" s="130"/>
      <c r="J88" s="130"/>
      <c r="K88" s="43"/>
      <c r="L88" s="43"/>
    </row>
    <row r="89" spans="1:12">
      <c r="A89" s="130"/>
      <c r="B89" s="130"/>
      <c r="C89" s="130"/>
      <c r="D89" s="130"/>
      <c r="E89" s="131"/>
      <c r="F89" s="131"/>
      <c r="G89" s="130"/>
      <c r="H89" s="130"/>
      <c r="I89" s="130"/>
      <c r="J89" s="130"/>
      <c r="K89" s="43"/>
      <c r="L89" s="43"/>
    </row>
    <row r="90" spans="1:12">
      <c r="A90" s="130"/>
      <c r="B90" s="130"/>
      <c r="C90" s="130"/>
      <c r="D90" s="130"/>
      <c r="E90" s="131"/>
      <c r="F90" s="131"/>
      <c r="G90" s="130"/>
      <c r="H90" s="130"/>
      <c r="I90" s="130"/>
      <c r="J90" s="130"/>
      <c r="K90" s="43"/>
      <c r="L90" s="43"/>
    </row>
    <row r="91" spans="1:12">
      <c r="A91" s="130"/>
      <c r="B91" s="130"/>
      <c r="C91" s="130"/>
      <c r="D91" s="130"/>
      <c r="E91" s="131"/>
      <c r="F91" s="131"/>
      <c r="G91" s="130"/>
      <c r="H91" s="130"/>
      <c r="I91" s="130"/>
      <c r="J91" s="130"/>
      <c r="K91" s="43"/>
      <c r="L91" s="43"/>
    </row>
    <row r="92" spans="1:12">
      <c r="A92" s="130"/>
      <c r="B92" s="130"/>
      <c r="C92" s="130"/>
      <c r="D92" s="130"/>
      <c r="E92" s="131"/>
      <c r="F92" s="131"/>
      <c r="G92" s="130"/>
      <c r="H92" s="130"/>
      <c r="I92" s="130"/>
      <c r="J92" s="130"/>
      <c r="K92" s="43"/>
      <c r="L92" s="43"/>
    </row>
    <row r="93" spans="1:12">
      <c r="A93" s="130"/>
      <c r="B93" s="130"/>
      <c r="C93" s="130"/>
      <c r="D93" s="130"/>
      <c r="E93" s="131"/>
      <c r="F93" s="131"/>
      <c r="G93" s="130"/>
      <c r="H93" s="130"/>
      <c r="I93" s="130"/>
      <c r="J93" s="130"/>
      <c r="K93" s="43"/>
      <c r="L93" s="43"/>
    </row>
    <row r="94" spans="1:12">
      <c r="A94" s="130"/>
      <c r="B94" s="130"/>
      <c r="C94" s="130"/>
      <c r="D94" s="130"/>
      <c r="E94" s="131"/>
      <c r="F94" s="131"/>
      <c r="G94" s="130"/>
      <c r="H94" s="130"/>
      <c r="I94" s="130"/>
      <c r="J94" s="130"/>
      <c r="K94" s="43"/>
      <c r="L94" s="43"/>
    </row>
    <row r="95" spans="1:12">
      <c r="A95" s="130"/>
      <c r="B95" s="130"/>
      <c r="C95" s="130"/>
      <c r="D95" s="130"/>
      <c r="E95" s="131"/>
      <c r="F95" s="131"/>
      <c r="G95" s="130"/>
      <c r="H95" s="130"/>
      <c r="I95" s="130"/>
      <c r="J95" s="130"/>
      <c r="K95" s="43"/>
      <c r="L95" s="43"/>
    </row>
    <row r="96" spans="1:12">
      <c r="A96" s="130"/>
      <c r="B96" s="130"/>
      <c r="C96" s="130"/>
      <c r="D96" s="130"/>
      <c r="E96" s="131"/>
      <c r="F96" s="131"/>
      <c r="G96" s="130"/>
      <c r="H96" s="130"/>
      <c r="I96" s="130"/>
      <c r="J96" s="130"/>
      <c r="K96" s="43"/>
      <c r="L96" s="43"/>
    </row>
    <row r="97" spans="1:12">
      <c r="A97" s="130"/>
      <c r="B97" s="130"/>
      <c r="C97" s="130"/>
      <c r="D97" s="130"/>
      <c r="E97" s="131"/>
      <c r="F97" s="131"/>
      <c r="G97" s="130"/>
      <c r="H97" s="130"/>
      <c r="I97" s="130"/>
      <c r="J97" s="130"/>
      <c r="K97" s="43"/>
      <c r="L97" s="43"/>
    </row>
    <row r="98" spans="1:12">
      <c r="A98" s="130"/>
      <c r="B98" s="130"/>
      <c r="C98" s="130"/>
      <c r="D98" s="130"/>
      <c r="E98" s="131"/>
      <c r="F98" s="131"/>
      <c r="G98" s="130"/>
      <c r="H98" s="130"/>
      <c r="I98" s="130"/>
      <c r="J98" s="130"/>
      <c r="K98" s="43"/>
      <c r="L98" s="43"/>
    </row>
    <row r="99" spans="1:12">
      <c r="A99" s="130"/>
      <c r="B99" s="130"/>
      <c r="C99" s="130"/>
      <c r="D99" s="130"/>
      <c r="E99" s="131"/>
      <c r="F99" s="131"/>
      <c r="G99" s="130"/>
      <c r="H99" s="130"/>
      <c r="I99" s="130"/>
      <c r="J99" s="130"/>
      <c r="K99" s="43"/>
      <c r="L99" s="43"/>
    </row>
    <row r="100" spans="1:12">
      <c r="A100" s="130"/>
      <c r="B100" s="130"/>
      <c r="C100" s="130"/>
      <c r="D100" s="130"/>
      <c r="E100" s="131"/>
      <c r="F100" s="131"/>
      <c r="G100" s="130"/>
      <c r="H100" s="130"/>
      <c r="I100" s="130"/>
      <c r="J100" s="130"/>
      <c r="K100" s="43"/>
      <c r="L100" s="43"/>
    </row>
    <row r="101" spans="1:12">
      <c r="A101" s="130"/>
      <c r="B101" s="130"/>
      <c r="C101" s="130"/>
      <c r="D101" s="130"/>
      <c r="E101" s="131"/>
      <c r="F101" s="131"/>
      <c r="G101" s="130"/>
      <c r="H101" s="130"/>
      <c r="I101" s="130"/>
      <c r="J101" s="130"/>
      <c r="K101" s="43"/>
      <c r="L101" s="43"/>
    </row>
    <row r="102" spans="1:12">
      <c r="A102" s="130"/>
      <c r="B102" s="130"/>
      <c r="C102" s="130"/>
      <c r="D102" s="130"/>
      <c r="E102" s="131"/>
      <c r="F102" s="131"/>
      <c r="G102" s="130"/>
      <c r="H102" s="130"/>
      <c r="I102" s="130"/>
      <c r="J102" s="130"/>
      <c r="K102" s="43"/>
      <c r="L102" s="43"/>
    </row>
    <row r="103" spans="1:12">
      <c r="A103" s="130"/>
      <c r="B103" s="130"/>
      <c r="C103" s="130"/>
      <c r="D103" s="130"/>
      <c r="E103" s="131"/>
      <c r="F103" s="131"/>
      <c r="G103" s="130"/>
      <c r="H103" s="130"/>
      <c r="I103" s="130"/>
      <c r="J103" s="130"/>
      <c r="K103" s="43"/>
      <c r="L103" s="43"/>
    </row>
    <row r="104" spans="1:12">
      <c r="A104" s="130"/>
      <c r="B104" s="130"/>
      <c r="C104" s="130"/>
      <c r="D104" s="130"/>
      <c r="E104" s="131"/>
      <c r="F104" s="131"/>
      <c r="G104" s="130"/>
      <c r="H104" s="130"/>
      <c r="I104" s="130"/>
      <c r="J104" s="130"/>
      <c r="K104" s="43"/>
      <c r="L104" s="43"/>
    </row>
    <row r="105" spans="1:12">
      <c r="A105" s="130"/>
      <c r="B105" s="130"/>
      <c r="C105" s="130"/>
      <c r="D105" s="130"/>
      <c r="E105" s="131"/>
      <c r="F105" s="131"/>
      <c r="G105" s="130"/>
      <c r="H105" s="130"/>
      <c r="I105" s="130"/>
      <c r="J105" s="130"/>
      <c r="K105" s="43"/>
      <c r="L105" s="43"/>
    </row>
    <row r="106" spans="1:12">
      <c r="A106" s="130"/>
      <c r="B106" s="130"/>
      <c r="C106" s="130"/>
      <c r="D106" s="130"/>
      <c r="E106" s="131"/>
      <c r="F106" s="131"/>
      <c r="G106" s="130"/>
      <c r="H106" s="130"/>
      <c r="I106" s="130"/>
      <c r="J106" s="130"/>
      <c r="K106" s="43"/>
      <c r="L106" s="43"/>
    </row>
    <row r="107" spans="1:12">
      <c r="A107" s="130"/>
      <c r="B107" s="130"/>
      <c r="C107" s="130"/>
      <c r="D107" s="130"/>
      <c r="E107" s="131"/>
      <c r="F107" s="131"/>
      <c r="G107" s="130"/>
      <c r="H107" s="130"/>
      <c r="I107" s="130"/>
      <c r="J107" s="130"/>
      <c r="K107" s="43"/>
      <c r="L107" s="43"/>
    </row>
    <row r="108" spans="1:12">
      <c r="A108" s="130"/>
      <c r="B108" s="130"/>
      <c r="C108" s="130"/>
      <c r="D108" s="130"/>
      <c r="E108" s="131"/>
      <c r="F108" s="131"/>
      <c r="G108" s="130"/>
      <c r="H108" s="130"/>
      <c r="I108" s="130"/>
      <c r="J108" s="130"/>
      <c r="K108" s="43"/>
      <c r="L108" s="43"/>
    </row>
    <row r="109" spans="1:12">
      <c r="A109" s="130"/>
      <c r="B109" s="130"/>
      <c r="C109" s="130"/>
      <c r="D109" s="130"/>
      <c r="E109" s="131"/>
      <c r="F109" s="131"/>
      <c r="G109" s="130"/>
      <c r="H109" s="130"/>
      <c r="I109" s="130"/>
      <c r="J109" s="130"/>
      <c r="K109" s="43"/>
      <c r="L109" s="43"/>
    </row>
    <row r="110" spans="1:12">
      <c r="A110" s="130"/>
      <c r="B110" s="130"/>
      <c r="C110" s="130"/>
      <c r="D110" s="130"/>
      <c r="E110" s="131"/>
      <c r="F110" s="131"/>
      <c r="G110" s="130"/>
      <c r="H110" s="130"/>
      <c r="I110" s="130"/>
      <c r="J110" s="130"/>
      <c r="K110" s="43"/>
      <c r="L110" s="43"/>
    </row>
    <row r="111" spans="1:12">
      <c r="A111" s="130"/>
      <c r="B111" s="130"/>
      <c r="C111" s="130"/>
      <c r="D111" s="130"/>
      <c r="E111" s="131"/>
      <c r="F111" s="131"/>
      <c r="G111" s="130"/>
      <c r="H111" s="130"/>
      <c r="I111" s="130"/>
      <c r="J111" s="130"/>
      <c r="K111" s="43"/>
      <c r="L111" s="43"/>
    </row>
    <row r="112" spans="1:12">
      <c r="A112" s="130"/>
      <c r="B112" s="130"/>
      <c r="C112" s="130"/>
      <c r="D112" s="130"/>
      <c r="E112" s="131"/>
      <c r="F112" s="131"/>
      <c r="G112" s="130"/>
      <c r="H112" s="130"/>
      <c r="I112" s="130"/>
      <c r="J112" s="130"/>
      <c r="K112" s="43"/>
      <c r="L112" s="43"/>
    </row>
    <row r="113" spans="1:12">
      <c r="A113" s="130"/>
      <c r="B113" s="130"/>
      <c r="C113" s="130"/>
      <c r="D113" s="130"/>
      <c r="E113" s="131"/>
      <c r="F113" s="131"/>
      <c r="G113" s="130"/>
      <c r="H113" s="130"/>
      <c r="I113" s="130"/>
      <c r="J113" s="130"/>
      <c r="K113" s="43"/>
      <c r="L113" s="43"/>
    </row>
    <row r="114" spans="1:12">
      <c r="A114" s="130"/>
      <c r="B114" s="130"/>
      <c r="C114" s="130"/>
      <c r="D114" s="130"/>
      <c r="E114" s="131"/>
      <c r="F114" s="131"/>
      <c r="G114" s="130"/>
      <c r="H114" s="130"/>
      <c r="I114" s="130"/>
      <c r="J114" s="130"/>
      <c r="K114" s="43"/>
      <c r="L114" s="43"/>
    </row>
    <row r="115" spans="1:12">
      <c r="A115" s="130"/>
      <c r="B115" s="130"/>
      <c r="C115" s="130"/>
      <c r="D115" s="130"/>
      <c r="E115" s="131"/>
      <c r="F115" s="131"/>
      <c r="G115" s="130"/>
      <c r="H115" s="130"/>
      <c r="I115" s="130"/>
      <c r="J115" s="130"/>
      <c r="K115" s="43"/>
      <c r="L115" s="43"/>
    </row>
    <row r="116" spans="1:12">
      <c r="A116" s="130"/>
      <c r="B116" s="130"/>
      <c r="C116" s="130"/>
      <c r="D116" s="130"/>
      <c r="E116" s="131"/>
      <c r="F116" s="131"/>
      <c r="G116" s="130"/>
      <c r="H116" s="130"/>
      <c r="I116" s="130"/>
      <c r="J116" s="130"/>
      <c r="K116" s="43"/>
      <c r="L116" s="43"/>
    </row>
    <row r="117" spans="1:12">
      <c r="A117" s="130"/>
      <c r="B117" s="130"/>
      <c r="C117" s="130"/>
      <c r="D117" s="130"/>
      <c r="E117" s="131"/>
      <c r="F117" s="131"/>
      <c r="G117" s="130"/>
      <c r="H117" s="130"/>
      <c r="I117" s="130"/>
      <c r="J117" s="130"/>
      <c r="K117" s="43"/>
      <c r="L117" s="43"/>
    </row>
    <row r="118" spans="1:12">
      <c r="A118" s="130"/>
      <c r="B118" s="130"/>
      <c r="C118" s="130"/>
      <c r="D118" s="130"/>
      <c r="E118" s="131"/>
      <c r="F118" s="131"/>
      <c r="G118" s="130"/>
      <c r="H118" s="130"/>
      <c r="I118" s="130"/>
      <c r="J118" s="130"/>
      <c r="K118" s="43"/>
      <c r="L118" s="43"/>
    </row>
    <row r="119" spans="1:12">
      <c r="A119" s="130"/>
      <c r="B119" s="130"/>
      <c r="C119" s="130"/>
      <c r="D119" s="130"/>
      <c r="E119" s="131"/>
      <c r="F119" s="131"/>
      <c r="G119" s="130"/>
      <c r="H119" s="130"/>
      <c r="I119" s="130"/>
      <c r="J119" s="130"/>
      <c r="K119" s="43"/>
      <c r="L119" s="43"/>
    </row>
    <row r="120" spans="1:12">
      <c r="A120" s="130"/>
      <c r="B120" s="130"/>
      <c r="C120" s="130"/>
      <c r="D120" s="130"/>
      <c r="E120" s="131"/>
      <c r="F120" s="131"/>
      <c r="G120" s="130"/>
      <c r="H120" s="130"/>
      <c r="I120" s="130"/>
      <c r="J120" s="130"/>
      <c r="K120" s="43"/>
      <c r="L120" s="43"/>
    </row>
    <row r="121" spans="1:12">
      <c r="A121" s="130"/>
      <c r="B121" s="130"/>
      <c r="C121" s="130"/>
      <c r="D121" s="130"/>
      <c r="E121" s="131"/>
      <c r="F121" s="131"/>
      <c r="G121" s="130"/>
      <c r="H121" s="130"/>
      <c r="I121" s="130"/>
      <c r="J121" s="130"/>
      <c r="K121" s="43"/>
      <c r="L121" s="43"/>
    </row>
    <row r="122" spans="1:12">
      <c r="A122" s="130"/>
      <c r="B122" s="130"/>
      <c r="C122" s="130"/>
      <c r="D122" s="130"/>
      <c r="E122" s="131"/>
      <c r="F122" s="131"/>
      <c r="G122" s="130"/>
      <c r="H122" s="130"/>
      <c r="I122" s="130"/>
      <c r="J122" s="130"/>
      <c r="K122" s="43"/>
      <c r="L122" s="43"/>
    </row>
    <row r="123" spans="1:12">
      <c r="A123" s="130"/>
      <c r="B123" s="130"/>
      <c r="C123" s="130"/>
      <c r="D123" s="130"/>
      <c r="E123" s="131"/>
      <c r="F123" s="131"/>
      <c r="G123" s="130"/>
      <c r="H123" s="130"/>
      <c r="I123" s="130"/>
      <c r="J123" s="130"/>
      <c r="K123" s="43"/>
      <c r="L123" s="43"/>
    </row>
    <row r="124" spans="1:12">
      <c r="A124" s="130"/>
      <c r="B124" s="130"/>
      <c r="C124" s="130"/>
      <c r="D124" s="130"/>
      <c r="E124" s="131"/>
      <c r="F124" s="131"/>
      <c r="G124" s="130"/>
      <c r="H124" s="130"/>
      <c r="I124" s="130"/>
      <c r="J124" s="130"/>
      <c r="K124" s="43"/>
      <c r="L124" s="43"/>
    </row>
    <row r="125" spans="1:12">
      <c r="A125" s="130"/>
      <c r="B125" s="130"/>
      <c r="C125" s="130"/>
      <c r="D125" s="130"/>
      <c r="E125" s="131"/>
      <c r="F125" s="131"/>
      <c r="G125" s="130"/>
      <c r="H125" s="130"/>
      <c r="I125" s="130"/>
      <c r="J125" s="130"/>
      <c r="K125" s="43"/>
      <c r="L125" s="43"/>
    </row>
    <row r="126" spans="1:12">
      <c r="A126" s="130"/>
      <c r="B126" s="130"/>
      <c r="C126" s="130"/>
      <c r="D126" s="130"/>
      <c r="E126" s="131"/>
      <c r="F126" s="131"/>
      <c r="G126" s="130"/>
      <c r="H126" s="130"/>
      <c r="I126" s="130"/>
      <c r="J126" s="130"/>
      <c r="K126" s="43"/>
      <c r="L126" s="43"/>
    </row>
    <row r="127" spans="1:12">
      <c r="A127" s="130"/>
      <c r="B127" s="130"/>
      <c r="C127" s="130"/>
      <c r="D127" s="130"/>
      <c r="E127" s="131"/>
      <c r="F127" s="131"/>
      <c r="G127" s="130"/>
      <c r="H127" s="130"/>
      <c r="I127" s="130"/>
      <c r="J127" s="130"/>
      <c r="K127" s="43"/>
      <c r="L127" s="43"/>
    </row>
    <row r="128" spans="1:12">
      <c r="A128" s="130"/>
      <c r="B128" s="130"/>
      <c r="C128" s="130"/>
      <c r="D128" s="130"/>
      <c r="E128" s="131"/>
      <c r="F128" s="131"/>
      <c r="G128" s="130"/>
      <c r="H128" s="130"/>
      <c r="I128" s="130"/>
      <c r="J128" s="130"/>
      <c r="K128" s="43"/>
      <c r="L128" s="43"/>
    </row>
    <row r="129" spans="1:12">
      <c r="A129" s="130"/>
      <c r="B129" s="130"/>
      <c r="C129" s="130"/>
      <c r="D129" s="130"/>
      <c r="E129" s="131"/>
      <c r="F129" s="131"/>
      <c r="G129" s="130"/>
      <c r="H129" s="130"/>
      <c r="I129" s="130"/>
      <c r="J129" s="130"/>
      <c r="K129" s="43"/>
      <c r="L129" s="43"/>
    </row>
    <row r="130" spans="1:12">
      <c r="A130" s="130"/>
      <c r="B130" s="130"/>
      <c r="C130" s="130"/>
      <c r="D130" s="130"/>
      <c r="E130" s="131"/>
      <c r="F130" s="131"/>
      <c r="G130" s="130"/>
      <c r="H130" s="130"/>
      <c r="I130" s="130"/>
      <c r="J130" s="130"/>
      <c r="K130" s="43"/>
      <c r="L130" s="43"/>
    </row>
    <row r="131" spans="1:12">
      <c r="A131" s="130"/>
      <c r="B131" s="130"/>
      <c r="C131" s="130"/>
      <c r="D131" s="130"/>
      <c r="E131" s="131"/>
      <c r="F131" s="131"/>
      <c r="G131" s="130"/>
      <c r="H131" s="130"/>
      <c r="I131" s="130"/>
      <c r="J131" s="130"/>
      <c r="K131" s="43"/>
      <c r="L131" s="43"/>
    </row>
    <row r="132" spans="1:12">
      <c r="A132" s="130"/>
      <c r="B132" s="130"/>
      <c r="C132" s="130"/>
      <c r="D132" s="130"/>
      <c r="E132" s="131"/>
      <c r="F132" s="131"/>
      <c r="G132" s="130"/>
      <c r="H132" s="130"/>
      <c r="I132" s="130"/>
      <c r="J132" s="130"/>
      <c r="K132" s="43"/>
      <c r="L132" s="43"/>
    </row>
    <row r="133" spans="1:12">
      <c r="A133" s="130"/>
      <c r="B133" s="130"/>
      <c r="C133" s="130"/>
      <c r="D133" s="130"/>
      <c r="E133" s="131"/>
      <c r="F133" s="131"/>
      <c r="G133" s="130"/>
      <c r="H133" s="130"/>
      <c r="I133" s="130"/>
      <c r="J133" s="130"/>
      <c r="K133" s="43"/>
      <c r="L133" s="43"/>
    </row>
    <row r="134" spans="1:12">
      <c r="A134" s="130"/>
      <c r="B134" s="130"/>
      <c r="C134" s="130"/>
      <c r="D134" s="130"/>
      <c r="E134" s="131"/>
      <c r="F134" s="131"/>
      <c r="G134" s="130"/>
      <c r="H134" s="130"/>
      <c r="I134" s="130"/>
      <c r="J134" s="130"/>
      <c r="K134" s="43"/>
      <c r="L134" s="43"/>
    </row>
    <row r="135" spans="1:12">
      <c r="A135" s="130"/>
      <c r="B135" s="130"/>
      <c r="C135" s="130"/>
      <c r="D135" s="130"/>
      <c r="E135" s="131"/>
      <c r="F135" s="131"/>
      <c r="G135" s="130"/>
      <c r="H135" s="130"/>
      <c r="I135" s="130"/>
      <c r="J135" s="130"/>
      <c r="K135" s="43"/>
      <c r="L135" s="43"/>
    </row>
    <row r="136" spans="1:12">
      <c r="A136" s="130"/>
      <c r="B136" s="130"/>
      <c r="C136" s="130"/>
      <c r="D136" s="130"/>
      <c r="E136" s="131"/>
      <c r="F136" s="131"/>
      <c r="G136" s="130"/>
      <c r="H136" s="130"/>
      <c r="I136" s="130"/>
      <c r="J136" s="130"/>
      <c r="K136" s="43"/>
      <c r="L136" s="43"/>
    </row>
    <row r="137" spans="1:12">
      <c r="A137" s="130"/>
      <c r="B137" s="130"/>
      <c r="C137" s="130"/>
      <c r="D137" s="130"/>
      <c r="E137" s="131"/>
      <c r="F137" s="131"/>
      <c r="G137" s="130"/>
      <c r="H137" s="130"/>
      <c r="I137" s="130"/>
      <c r="J137" s="130"/>
      <c r="K137" s="43"/>
      <c r="L137" s="43"/>
    </row>
    <row r="138" spans="1:12">
      <c r="A138" s="130"/>
      <c r="B138" s="130"/>
      <c r="C138" s="130"/>
      <c r="D138" s="130"/>
      <c r="E138" s="131"/>
      <c r="F138" s="131"/>
      <c r="G138" s="130"/>
      <c r="H138" s="130"/>
      <c r="I138" s="130"/>
      <c r="J138" s="130"/>
      <c r="K138" s="43"/>
      <c r="L138" s="43"/>
    </row>
    <row r="139" spans="1:12">
      <c r="A139" s="130"/>
      <c r="B139" s="130"/>
      <c r="C139" s="130"/>
      <c r="D139" s="130"/>
      <c r="E139" s="131"/>
      <c r="F139" s="131"/>
      <c r="G139" s="130"/>
      <c r="H139" s="130"/>
      <c r="I139" s="130"/>
      <c r="J139" s="130"/>
      <c r="K139" s="43"/>
      <c r="L139" s="43"/>
    </row>
    <row r="140" spans="1:12">
      <c r="A140" s="130"/>
      <c r="B140" s="130"/>
      <c r="C140" s="130"/>
      <c r="D140" s="130"/>
      <c r="E140" s="131"/>
      <c r="F140" s="131"/>
      <c r="G140" s="130"/>
      <c r="H140" s="130"/>
      <c r="I140" s="130"/>
      <c r="J140" s="130"/>
      <c r="K140" s="43"/>
      <c r="L140" s="43"/>
    </row>
    <row r="141" spans="1:12">
      <c r="A141" s="130"/>
      <c r="B141" s="130"/>
      <c r="C141" s="130"/>
      <c r="D141" s="130"/>
      <c r="E141" s="131"/>
      <c r="F141" s="131"/>
      <c r="G141" s="130"/>
      <c r="H141" s="130"/>
      <c r="I141" s="130"/>
      <c r="J141" s="130"/>
      <c r="K141" s="43"/>
      <c r="L141" s="43"/>
    </row>
    <row r="142" spans="1:12">
      <c r="A142" s="130"/>
      <c r="B142" s="130"/>
      <c r="C142" s="130"/>
      <c r="D142" s="130"/>
      <c r="E142" s="131"/>
      <c r="F142" s="131"/>
      <c r="G142" s="130"/>
      <c r="H142" s="130"/>
      <c r="I142" s="130"/>
      <c r="J142" s="130"/>
      <c r="K142" s="43"/>
      <c r="L142" s="43"/>
    </row>
    <row r="143" spans="1:12">
      <c r="A143" s="130"/>
      <c r="B143" s="130"/>
      <c r="C143" s="130"/>
      <c r="D143" s="130"/>
      <c r="E143" s="131"/>
      <c r="F143" s="131"/>
      <c r="G143" s="130"/>
      <c r="H143" s="130"/>
      <c r="I143" s="130"/>
      <c r="J143" s="130"/>
      <c r="K143" s="43"/>
      <c r="L143" s="43"/>
    </row>
    <row r="144" spans="1:12">
      <c r="A144" s="130"/>
      <c r="B144" s="130"/>
      <c r="C144" s="130"/>
      <c r="D144" s="130"/>
      <c r="E144" s="131"/>
      <c r="F144" s="131"/>
      <c r="G144" s="130"/>
      <c r="H144" s="130"/>
      <c r="I144" s="130"/>
      <c r="J144" s="130"/>
      <c r="K144" s="43"/>
      <c r="L144" s="43"/>
    </row>
    <row r="145" spans="1:12">
      <c r="A145" s="130"/>
      <c r="B145" s="130"/>
      <c r="C145" s="130"/>
      <c r="D145" s="130"/>
      <c r="E145" s="131"/>
      <c r="F145" s="131"/>
      <c r="G145" s="130"/>
      <c r="H145" s="130"/>
      <c r="I145" s="130"/>
      <c r="J145" s="130"/>
      <c r="K145" s="43"/>
      <c r="L145" s="43"/>
    </row>
    <row r="146" spans="1:12">
      <c r="A146" s="130"/>
      <c r="B146" s="130"/>
      <c r="C146" s="130"/>
      <c r="D146" s="130"/>
      <c r="E146" s="131"/>
      <c r="F146" s="131"/>
      <c r="G146" s="130"/>
      <c r="H146" s="130"/>
      <c r="I146" s="130"/>
      <c r="J146" s="130"/>
      <c r="K146" s="43"/>
      <c r="L146" s="43"/>
    </row>
    <row r="147" spans="1:12">
      <c r="A147" s="130"/>
      <c r="B147" s="130"/>
      <c r="C147" s="130"/>
      <c r="D147" s="130"/>
      <c r="E147" s="131"/>
      <c r="F147" s="131"/>
      <c r="G147" s="130"/>
      <c r="H147" s="130"/>
      <c r="I147" s="130"/>
      <c r="J147" s="130"/>
      <c r="K147" s="43"/>
      <c r="L147" s="43"/>
    </row>
    <row r="148" spans="1:12">
      <c r="A148" s="130"/>
      <c r="B148" s="130"/>
      <c r="C148" s="130"/>
      <c r="D148" s="130"/>
      <c r="E148" s="131"/>
      <c r="F148" s="131"/>
      <c r="G148" s="130"/>
      <c r="H148" s="130"/>
      <c r="I148" s="130"/>
      <c r="J148" s="130"/>
      <c r="K148" s="43"/>
      <c r="L148" s="43"/>
    </row>
    <row r="149" spans="1:12">
      <c r="A149" s="130"/>
      <c r="B149" s="130"/>
      <c r="C149" s="130"/>
      <c r="D149" s="130"/>
      <c r="E149" s="131"/>
      <c r="F149" s="131"/>
      <c r="G149" s="130"/>
      <c r="H149" s="130"/>
      <c r="I149" s="130"/>
      <c r="J149" s="130"/>
      <c r="K149" s="43"/>
      <c r="L149" s="43"/>
    </row>
    <row r="150" spans="1:12">
      <c r="A150" s="130"/>
      <c r="B150" s="130"/>
      <c r="C150" s="130"/>
      <c r="D150" s="130"/>
      <c r="E150" s="131"/>
      <c r="F150" s="131"/>
      <c r="G150" s="130"/>
      <c r="H150" s="130"/>
      <c r="I150" s="130"/>
      <c r="J150" s="130"/>
      <c r="K150" s="43"/>
      <c r="L150" s="43"/>
    </row>
    <row r="151" spans="1:12">
      <c r="A151" s="130"/>
      <c r="B151" s="130"/>
      <c r="C151" s="130"/>
      <c r="D151" s="130"/>
      <c r="E151" s="131"/>
      <c r="F151" s="131"/>
      <c r="G151" s="130"/>
      <c r="H151" s="130"/>
      <c r="I151" s="130"/>
      <c r="J151" s="130"/>
      <c r="K151" s="43"/>
      <c r="L151" s="43"/>
    </row>
    <row r="152" spans="1:12">
      <c r="A152" s="130"/>
      <c r="B152" s="130"/>
      <c r="C152" s="130"/>
      <c r="D152" s="130"/>
      <c r="E152" s="131"/>
      <c r="F152" s="131"/>
      <c r="G152" s="130"/>
      <c r="H152" s="130"/>
      <c r="I152" s="130"/>
      <c r="J152" s="130"/>
      <c r="K152" s="43"/>
      <c r="L152" s="43"/>
    </row>
    <row r="153" spans="1:12">
      <c r="A153" s="130"/>
      <c r="B153" s="130"/>
      <c r="C153" s="130"/>
      <c r="D153" s="130"/>
      <c r="E153" s="131"/>
      <c r="F153" s="131"/>
      <c r="G153" s="130"/>
      <c r="H153" s="130"/>
      <c r="I153" s="130"/>
      <c r="J153" s="130"/>
      <c r="K153" s="43"/>
      <c r="L153" s="43"/>
    </row>
    <row r="154" spans="1:12">
      <c r="A154" s="130"/>
      <c r="B154" s="130"/>
      <c r="C154" s="130"/>
      <c r="D154" s="130"/>
      <c r="E154" s="131"/>
      <c r="F154" s="131"/>
      <c r="G154" s="130"/>
      <c r="H154" s="130"/>
      <c r="I154" s="130"/>
      <c r="J154" s="130"/>
      <c r="K154" s="43"/>
      <c r="L154" s="43"/>
    </row>
    <row r="155" spans="1:12">
      <c r="A155" s="130"/>
      <c r="B155" s="130"/>
      <c r="C155" s="130"/>
      <c r="D155" s="130"/>
      <c r="E155" s="131"/>
      <c r="F155" s="131"/>
      <c r="G155" s="130"/>
      <c r="H155" s="130"/>
      <c r="I155" s="130"/>
      <c r="J155" s="130"/>
      <c r="K155" s="43"/>
      <c r="L155" s="43"/>
    </row>
    <row r="156" spans="1:12">
      <c r="A156" s="130"/>
      <c r="B156" s="130"/>
      <c r="C156" s="130"/>
      <c r="D156" s="130"/>
      <c r="E156" s="131"/>
      <c r="F156" s="131"/>
      <c r="G156" s="130"/>
      <c r="H156" s="130"/>
      <c r="I156" s="130"/>
      <c r="J156" s="130"/>
      <c r="K156" s="43"/>
      <c r="L156" s="43"/>
    </row>
    <row r="157" spans="1:12">
      <c r="A157" s="130"/>
      <c r="B157" s="130"/>
      <c r="C157" s="130"/>
      <c r="D157" s="130"/>
      <c r="E157" s="131"/>
      <c r="F157" s="131"/>
      <c r="G157" s="130"/>
      <c r="H157" s="130"/>
      <c r="I157" s="130"/>
      <c r="J157" s="130"/>
      <c r="K157" s="43"/>
      <c r="L157" s="43"/>
    </row>
    <row r="158" spans="1:12">
      <c r="A158" s="130"/>
      <c r="B158" s="130"/>
      <c r="C158" s="130"/>
      <c r="D158" s="130"/>
      <c r="E158" s="131"/>
      <c r="F158" s="131"/>
      <c r="G158" s="130"/>
      <c r="H158" s="130"/>
      <c r="I158" s="130"/>
      <c r="J158" s="130"/>
      <c r="K158" s="43"/>
      <c r="L158" s="43"/>
    </row>
    <row r="159" spans="1:12">
      <c r="A159" s="130"/>
      <c r="B159" s="130"/>
      <c r="C159" s="130"/>
      <c r="D159" s="130"/>
      <c r="E159" s="131"/>
      <c r="F159" s="131"/>
      <c r="G159" s="130"/>
      <c r="H159" s="130"/>
      <c r="I159" s="130"/>
      <c r="J159" s="130"/>
      <c r="K159" s="43"/>
      <c r="L159" s="43"/>
    </row>
    <row r="160" spans="1:12">
      <c r="A160" s="130"/>
      <c r="B160" s="130"/>
      <c r="C160" s="130"/>
      <c r="D160" s="130"/>
      <c r="E160" s="131"/>
      <c r="F160" s="131"/>
      <c r="G160" s="130"/>
      <c r="H160" s="130"/>
      <c r="I160" s="130"/>
      <c r="J160" s="130"/>
      <c r="K160" s="43"/>
      <c r="L160" s="43"/>
    </row>
    <row r="161" spans="1:12">
      <c r="A161" s="130"/>
      <c r="B161" s="130"/>
      <c r="C161" s="130"/>
      <c r="D161" s="130"/>
      <c r="E161" s="131"/>
      <c r="F161" s="131"/>
      <c r="G161" s="130"/>
      <c r="H161" s="130"/>
      <c r="I161" s="130"/>
      <c r="J161" s="130"/>
      <c r="K161" s="43"/>
      <c r="L161" s="43"/>
    </row>
    <row r="162" spans="1:12">
      <c r="A162" s="130"/>
      <c r="B162" s="130"/>
      <c r="C162" s="130"/>
      <c r="D162" s="130"/>
      <c r="E162" s="131"/>
      <c r="F162" s="131"/>
      <c r="G162" s="130"/>
      <c r="H162" s="130"/>
      <c r="I162" s="130"/>
      <c r="J162" s="130"/>
      <c r="K162" s="43"/>
      <c r="L162" s="43"/>
    </row>
    <row r="163" spans="1:12">
      <c r="A163" s="130"/>
      <c r="B163" s="130"/>
      <c r="C163" s="130"/>
      <c r="D163" s="130"/>
      <c r="E163" s="131"/>
      <c r="F163" s="131"/>
      <c r="G163" s="130"/>
      <c r="H163" s="130"/>
      <c r="I163" s="130"/>
      <c r="J163" s="130"/>
      <c r="K163" s="43"/>
      <c r="L163" s="43"/>
    </row>
    <row r="164" spans="1:12">
      <c r="A164" s="130"/>
      <c r="B164" s="130"/>
      <c r="C164" s="130"/>
      <c r="D164" s="130"/>
      <c r="E164" s="131"/>
      <c r="F164" s="131"/>
      <c r="G164" s="130"/>
      <c r="H164" s="130"/>
      <c r="I164" s="130"/>
      <c r="J164" s="130"/>
      <c r="K164" s="43"/>
      <c r="L164" s="43"/>
    </row>
    <row r="165" spans="1:12">
      <c r="A165" s="130"/>
      <c r="B165" s="130"/>
      <c r="C165" s="130"/>
      <c r="D165" s="130"/>
      <c r="E165" s="131"/>
      <c r="F165" s="131"/>
      <c r="G165" s="130"/>
      <c r="H165" s="130"/>
      <c r="I165" s="130"/>
      <c r="J165" s="130"/>
      <c r="K165" s="43"/>
      <c r="L165" s="43"/>
    </row>
    <row r="166" spans="1:12">
      <c r="A166" s="130"/>
      <c r="B166" s="130"/>
      <c r="C166" s="130"/>
      <c r="D166" s="130"/>
      <c r="E166" s="131"/>
      <c r="F166" s="131"/>
      <c r="G166" s="130"/>
      <c r="H166" s="130"/>
      <c r="I166" s="130"/>
      <c r="J166" s="130"/>
      <c r="K166" s="43"/>
      <c r="L166" s="43"/>
    </row>
    <row r="167" spans="1:12">
      <c r="A167" s="130"/>
      <c r="B167" s="130"/>
      <c r="C167" s="130"/>
      <c r="D167" s="130"/>
      <c r="E167" s="131"/>
      <c r="F167" s="131"/>
      <c r="G167" s="130"/>
      <c r="H167" s="130"/>
      <c r="I167" s="130"/>
      <c r="J167" s="130"/>
      <c r="K167" s="43"/>
      <c r="L167" s="43"/>
    </row>
    <row r="168" spans="1:12">
      <c r="A168" s="130"/>
      <c r="B168" s="130"/>
      <c r="C168" s="130"/>
      <c r="D168" s="130"/>
      <c r="E168" s="131"/>
      <c r="F168" s="131"/>
      <c r="G168" s="130"/>
      <c r="H168" s="130"/>
      <c r="I168" s="130"/>
      <c r="J168" s="130"/>
      <c r="K168" s="43"/>
      <c r="L168" s="43"/>
    </row>
    <row r="169" spans="1:12">
      <c r="A169" s="130"/>
      <c r="B169" s="130"/>
      <c r="C169" s="130"/>
      <c r="D169" s="130"/>
      <c r="E169" s="131"/>
      <c r="F169" s="131"/>
      <c r="G169" s="130"/>
      <c r="H169" s="130"/>
      <c r="I169" s="130"/>
      <c r="J169" s="130"/>
      <c r="K169" s="43"/>
      <c r="L169" s="43"/>
    </row>
    <row r="170" spans="1:12">
      <c r="A170" s="130"/>
      <c r="B170" s="130"/>
      <c r="C170" s="130"/>
      <c r="D170" s="130"/>
      <c r="E170" s="131"/>
      <c r="F170" s="131"/>
      <c r="G170" s="130"/>
      <c r="H170" s="130"/>
      <c r="I170" s="130"/>
      <c r="J170" s="130"/>
      <c r="K170" s="43"/>
      <c r="L170" s="43"/>
    </row>
    <row r="171" spans="1:12">
      <c r="A171" s="130"/>
      <c r="B171" s="130"/>
      <c r="C171" s="130"/>
      <c r="D171" s="130"/>
      <c r="E171" s="131"/>
      <c r="F171" s="131"/>
      <c r="G171" s="130"/>
      <c r="H171" s="130"/>
      <c r="I171" s="130"/>
      <c r="J171" s="130"/>
      <c r="K171" s="43"/>
      <c r="L171" s="43"/>
    </row>
    <row r="172" spans="1:12">
      <c r="A172" s="130"/>
      <c r="B172" s="130"/>
      <c r="C172" s="130"/>
      <c r="D172" s="130"/>
      <c r="E172" s="131"/>
      <c r="F172" s="131"/>
      <c r="G172" s="130"/>
      <c r="H172" s="130"/>
      <c r="I172" s="130"/>
      <c r="J172" s="130"/>
      <c r="K172" s="43"/>
      <c r="L172" s="43"/>
    </row>
    <row r="173" spans="1:12">
      <c r="A173" s="130"/>
      <c r="B173" s="130"/>
      <c r="C173" s="130"/>
      <c r="D173" s="130"/>
      <c r="E173" s="131"/>
      <c r="F173" s="131"/>
      <c r="G173" s="130"/>
      <c r="H173" s="130"/>
      <c r="I173" s="130"/>
      <c r="J173" s="130"/>
      <c r="K173" s="43"/>
      <c r="L173" s="43"/>
    </row>
    <row r="174" spans="1:12">
      <c r="A174" s="130"/>
      <c r="B174" s="130"/>
      <c r="C174" s="130"/>
      <c r="D174" s="130"/>
      <c r="E174" s="131"/>
      <c r="F174" s="131"/>
      <c r="G174" s="130"/>
      <c r="H174" s="130"/>
      <c r="I174" s="130"/>
      <c r="J174" s="130"/>
      <c r="K174" s="43"/>
      <c r="L174" s="43"/>
    </row>
    <row r="175" spans="1:12">
      <c r="A175" s="130"/>
      <c r="B175" s="130"/>
      <c r="C175" s="130"/>
      <c r="D175" s="130"/>
      <c r="E175" s="131"/>
      <c r="F175" s="131"/>
      <c r="G175" s="130"/>
      <c r="H175" s="130"/>
      <c r="I175" s="130"/>
      <c r="J175" s="130"/>
      <c r="K175" s="43"/>
      <c r="L175" s="43"/>
    </row>
    <row r="176" spans="1:12">
      <c r="A176" s="130"/>
      <c r="B176" s="130"/>
      <c r="C176" s="130"/>
      <c r="D176" s="130"/>
      <c r="E176" s="131"/>
      <c r="F176" s="131"/>
      <c r="G176" s="130"/>
      <c r="H176" s="130"/>
      <c r="I176" s="130"/>
      <c r="J176" s="130"/>
      <c r="K176" s="43"/>
      <c r="L176" s="43"/>
    </row>
    <row r="177" spans="1:12">
      <c r="A177" s="130"/>
      <c r="B177" s="130"/>
      <c r="C177" s="130"/>
      <c r="D177" s="130"/>
      <c r="E177" s="131"/>
      <c r="F177" s="131"/>
      <c r="G177" s="130"/>
      <c r="H177" s="130"/>
      <c r="I177" s="130"/>
      <c r="J177" s="130"/>
      <c r="K177" s="43"/>
      <c r="L177" s="43"/>
    </row>
    <row r="178" spans="1:12">
      <c r="A178" s="130"/>
      <c r="B178" s="130"/>
      <c r="C178" s="130"/>
      <c r="D178" s="130"/>
      <c r="E178" s="131"/>
      <c r="F178" s="131"/>
      <c r="G178" s="130"/>
      <c r="H178" s="130"/>
      <c r="I178" s="130"/>
      <c r="J178" s="130"/>
      <c r="K178" s="43"/>
      <c r="L178" s="43"/>
    </row>
    <row r="179" spans="1:12">
      <c r="A179" s="130"/>
      <c r="B179" s="130"/>
      <c r="C179" s="130"/>
      <c r="D179" s="130"/>
      <c r="E179" s="131"/>
      <c r="F179" s="131"/>
      <c r="G179" s="130"/>
      <c r="H179" s="130"/>
      <c r="I179" s="130"/>
      <c r="J179" s="130"/>
      <c r="K179" s="43"/>
      <c r="L179" s="43"/>
    </row>
    <row r="180" spans="1:12">
      <c r="A180" s="130"/>
      <c r="B180" s="130"/>
      <c r="C180" s="130"/>
      <c r="D180" s="130"/>
      <c r="E180" s="131"/>
      <c r="F180" s="131"/>
      <c r="G180" s="130"/>
      <c r="H180" s="130"/>
      <c r="I180" s="130"/>
      <c r="J180" s="130"/>
      <c r="K180" s="43"/>
      <c r="L180" s="43"/>
    </row>
    <row r="181" spans="1:12">
      <c r="A181" s="130"/>
      <c r="B181" s="130"/>
      <c r="C181" s="130"/>
      <c r="D181" s="130"/>
      <c r="E181" s="131"/>
      <c r="F181" s="131"/>
      <c r="G181" s="130"/>
      <c r="H181" s="130"/>
      <c r="I181" s="130"/>
      <c r="J181" s="130"/>
      <c r="K181" s="43"/>
      <c r="L181" s="43"/>
    </row>
    <row r="182" spans="1:12">
      <c r="A182" s="130"/>
      <c r="B182" s="130"/>
      <c r="C182" s="130"/>
      <c r="D182" s="130"/>
      <c r="E182" s="131"/>
      <c r="F182" s="131"/>
      <c r="G182" s="130"/>
      <c r="H182" s="130"/>
      <c r="I182" s="130"/>
      <c r="J182" s="130"/>
      <c r="K182" s="43"/>
      <c r="L182" s="43"/>
    </row>
    <row r="183" spans="1:12">
      <c r="A183" s="130"/>
      <c r="B183" s="130"/>
      <c r="C183" s="130"/>
      <c r="D183" s="130"/>
      <c r="E183" s="131"/>
      <c r="F183" s="131"/>
      <c r="G183" s="130"/>
      <c r="H183" s="130"/>
      <c r="I183" s="130"/>
      <c r="J183" s="130"/>
      <c r="K183" s="43"/>
      <c r="L183" s="43"/>
    </row>
    <row r="184" spans="1:12">
      <c r="A184" s="130"/>
      <c r="B184" s="130"/>
      <c r="C184" s="130"/>
      <c r="D184" s="130"/>
      <c r="E184" s="131"/>
      <c r="F184" s="131"/>
      <c r="G184" s="130"/>
      <c r="H184" s="130"/>
      <c r="I184" s="130"/>
      <c r="J184" s="130"/>
      <c r="K184" s="43"/>
      <c r="L184" s="43"/>
    </row>
    <row r="185" spans="1:12">
      <c r="A185" s="130"/>
      <c r="B185" s="130"/>
      <c r="C185" s="130"/>
      <c r="D185" s="130"/>
      <c r="E185" s="131"/>
      <c r="F185" s="131"/>
      <c r="G185" s="130"/>
      <c r="H185" s="130"/>
      <c r="I185" s="130"/>
      <c r="J185" s="130"/>
      <c r="K185" s="43"/>
      <c r="L185" s="43"/>
    </row>
    <row r="186" spans="1:12">
      <c r="A186" s="130"/>
      <c r="B186" s="130"/>
      <c r="C186" s="130"/>
      <c r="D186" s="130"/>
      <c r="E186" s="131"/>
      <c r="F186" s="131"/>
      <c r="G186" s="130"/>
      <c r="H186" s="130"/>
      <c r="I186" s="130"/>
      <c r="J186" s="130"/>
      <c r="K186" s="43"/>
      <c r="L186" s="43"/>
    </row>
    <row r="187" spans="1:12">
      <c r="A187" s="130"/>
      <c r="B187" s="130"/>
      <c r="C187" s="130"/>
      <c r="D187" s="130"/>
      <c r="E187" s="131"/>
      <c r="F187" s="131"/>
      <c r="G187" s="130"/>
      <c r="H187" s="130"/>
      <c r="I187" s="130"/>
      <c r="J187" s="130"/>
      <c r="K187" s="43"/>
      <c r="L187" s="43"/>
    </row>
    <row r="188" spans="1:12">
      <c r="A188" s="130"/>
      <c r="B188" s="130"/>
      <c r="C188" s="130"/>
      <c r="D188" s="130"/>
      <c r="E188" s="131"/>
      <c r="F188" s="131"/>
      <c r="G188" s="130"/>
      <c r="H188" s="130"/>
      <c r="I188" s="130"/>
      <c r="J188" s="130"/>
      <c r="K188" s="43"/>
      <c r="L188" s="43"/>
    </row>
    <row r="189" spans="1:12">
      <c r="A189" s="130"/>
      <c r="B189" s="130"/>
      <c r="C189" s="130"/>
      <c r="D189" s="130"/>
      <c r="E189" s="131"/>
      <c r="F189" s="131"/>
      <c r="G189" s="130"/>
      <c r="H189" s="130"/>
      <c r="I189" s="130"/>
      <c r="J189" s="130"/>
      <c r="K189" s="43"/>
      <c r="L189" s="43"/>
    </row>
    <row r="190" spans="1:12">
      <c r="A190" s="130"/>
      <c r="B190" s="130"/>
      <c r="C190" s="130"/>
      <c r="D190" s="130"/>
      <c r="E190" s="131"/>
      <c r="F190" s="131"/>
      <c r="G190" s="130"/>
      <c r="H190" s="130"/>
      <c r="I190" s="130"/>
      <c r="J190" s="130"/>
      <c r="K190" s="43"/>
      <c r="L190" s="43"/>
    </row>
    <row r="191" spans="1:12">
      <c r="A191" s="130"/>
      <c r="B191" s="130"/>
      <c r="C191" s="130"/>
      <c r="D191" s="130"/>
      <c r="E191" s="131"/>
      <c r="F191" s="131"/>
      <c r="G191" s="130"/>
      <c r="H191" s="130"/>
      <c r="I191" s="130"/>
      <c r="J191" s="130"/>
      <c r="K191" s="43"/>
      <c r="L191" s="43"/>
    </row>
    <row r="192" spans="1:12">
      <c r="A192" s="130"/>
      <c r="B192" s="130"/>
      <c r="C192" s="130"/>
      <c r="D192" s="130"/>
      <c r="E192" s="131"/>
      <c r="F192" s="131"/>
      <c r="G192" s="130"/>
      <c r="H192" s="130"/>
      <c r="I192" s="130"/>
      <c r="J192" s="130"/>
      <c r="K192" s="43"/>
      <c r="L192" s="43"/>
    </row>
    <row r="193" spans="1:12">
      <c r="A193" s="130"/>
      <c r="B193" s="130"/>
      <c r="C193" s="130"/>
      <c r="D193" s="130"/>
      <c r="E193" s="131"/>
      <c r="F193" s="131"/>
      <c r="G193" s="130"/>
      <c r="H193" s="130"/>
      <c r="I193" s="130"/>
      <c r="J193" s="130"/>
      <c r="K193" s="43"/>
      <c r="L193" s="43"/>
    </row>
    <row r="194" spans="1:12">
      <c r="A194" s="130"/>
      <c r="B194" s="130"/>
      <c r="C194" s="130"/>
      <c r="D194" s="130"/>
      <c r="E194" s="131"/>
      <c r="F194" s="131"/>
      <c r="G194" s="130"/>
      <c r="H194" s="130"/>
      <c r="I194" s="130"/>
      <c r="J194" s="130"/>
      <c r="K194" s="43"/>
      <c r="L194" s="43"/>
    </row>
    <row r="195" spans="1:12">
      <c r="A195" s="130"/>
      <c r="B195" s="130"/>
      <c r="C195" s="130"/>
      <c r="D195" s="130"/>
      <c r="E195" s="131"/>
      <c r="F195" s="131"/>
      <c r="G195" s="130"/>
      <c r="H195" s="130"/>
      <c r="I195" s="130"/>
      <c r="J195" s="130"/>
      <c r="K195" s="43"/>
      <c r="L195" s="43"/>
    </row>
    <row r="196" spans="1:12">
      <c r="A196" s="130"/>
      <c r="B196" s="130"/>
      <c r="C196" s="130"/>
      <c r="D196" s="130"/>
      <c r="E196" s="131"/>
      <c r="F196" s="131"/>
      <c r="G196" s="130"/>
      <c r="H196" s="130"/>
      <c r="I196" s="130"/>
      <c r="J196" s="130"/>
      <c r="K196" s="43"/>
      <c r="L196" s="43"/>
    </row>
    <row r="197" spans="1:12">
      <c r="A197" s="130"/>
      <c r="B197" s="130"/>
      <c r="C197" s="130"/>
      <c r="D197" s="130"/>
      <c r="E197" s="131"/>
      <c r="F197" s="131"/>
      <c r="G197" s="130"/>
      <c r="H197" s="130"/>
      <c r="I197" s="130"/>
      <c r="J197" s="130"/>
      <c r="K197" s="43"/>
      <c r="L197" s="43"/>
    </row>
    <row r="198" spans="1:12">
      <c r="A198" s="130"/>
      <c r="B198" s="130"/>
      <c r="C198" s="130"/>
      <c r="D198" s="130"/>
      <c r="E198" s="131"/>
      <c r="F198" s="131"/>
      <c r="G198" s="130"/>
      <c r="H198" s="130"/>
      <c r="I198" s="130"/>
      <c r="J198" s="130"/>
      <c r="K198" s="43"/>
      <c r="L198" s="43"/>
    </row>
    <row r="199" spans="1:12">
      <c r="A199" s="130"/>
      <c r="B199" s="130"/>
      <c r="C199" s="130"/>
      <c r="D199" s="130"/>
      <c r="E199" s="131"/>
      <c r="F199" s="131"/>
      <c r="G199" s="130"/>
      <c r="H199" s="130"/>
      <c r="I199" s="130"/>
      <c r="J199" s="130"/>
      <c r="K199" s="43"/>
      <c r="L199" s="43"/>
    </row>
    <row r="200" spans="1:12">
      <c r="A200" s="130"/>
      <c r="B200" s="130"/>
      <c r="C200" s="130"/>
      <c r="D200" s="130"/>
      <c r="E200" s="131"/>
      <c r="F200" s="131"/>
      <c r="G200" s="130"/>
      <c r="H200" s="130"/>
      <c r="I200" s="130"/>
      <c r="J200" s="130"/>
      <c r="K200" s="43"/>
      <c r="L200" s="43"/>
    </row>
    <row r="201" spans="1:12">
      <c r="A201" s="130"/>
      <c r="B201" s="130"/>
      <c r="C201" s="130"/>
      <c r="D201" s="130"/>
      <c r="E201" s="131"/>
      <c r="F201" s="131"/>
      <c r="G201" s="130"/>
      <c r="H201" s="130"/>
      <c r="I201" s="130"/>
      <c r="J201" s="130"/>
      <c r="K201" s="43"/>
      <c r="L201" s="43"/>
    </row>
    <row r="202" spans="1:12">
      <c r="A202" s="130"/>
      <c r="B202" s="130"/>
      <c r="C202" s="130"/>
      <c r="D202" s="130"/>
      <c r="E202" s="131"/>
      <c r="F202" s="131"/>
      <c r="G202" s="130"/>
      <c r="H202" s="130"/>
      <c r="I202" s="130"/>
      <c r="J202" s="130"/>
      <c r="K202" s="43"/>
      <c r="L202" s="43"/>
    </row>
    <row r="203" spans="1:12">
      <c r="A203" s="130"/>
      <c r="B203" s="130"/>
      <c r="C203" s="130"/>
      <c r="D203" s="130"/>
      <c r="E203" s="131"/>
      <c r="F203" s="131"/>
      <c r="G203" s="130"/>
      <c r="H203" s="130"/>
      <c r="I203" s="130"/>
      <c r="J203" s="130"/>
      <c r="K203" s="43"/>
      <c r="L203" s="43"/>
    </row>
    <row r="204" spans="1:12">
      <c r="A204" s="130"/>
      <c r="B204" s="130"/>
      <c r="C204" s="130"/>
      <c r="D204" s="130"/>
      <c r="E204" s="131"/>
      <c r="F204" s="131"/>
      <c r="G204" s="130"/>
      <c r="H204" s="130"/>
      <c r="I204" s="130"/>
      <c r="J204" s="130"/>
      <c r="K204" s="43"/>
      <c r="L204" s="43"/>
    </row>
    <row r="205" spans="1:12">
      <c r="A205" s="130"/>
      <c r="B205" s="130"/>
      <c r="C205" s="130"/>
      <c r="D205" s="130"/>
      <c r="E205" s="131"/>
      <c r="F205" s="131"/>
      <c r="G205" s="130"/>
      <c r="H205" s="130"/>
      <c r="I205" s="130"/>
      <c r="J205" s="130"/>
      <c r="K205" s="43"/>
      <c r="L205" s="43"/>
    </row>
    <row r="206" spans="1:12">
      <c r="A206" s="130"/>
      <c r="B206" s="130"/>
      <c r="C206" s="130"/>
      <c r="D206" s="130"/>
      <c r="E206" s="131"/>
      <c r="F206" s="131"/>
      <c r="G206" s="130"/>
      <c r="H206" s="130"/>
      <c r="I206" s="130"/>
      <c r="J206" s="130"/>
      <c r="K206" s="43"/>
      <c r="L206" s="43"/>
    </row>
    <row r="207" spans="1:12">
      <c r="A207" s="130"/>
      <c r="B207" s="130"/>
      <c r="C207" s="130"/>
      <c r="D207" s="130"/>
      <c r="E207" s="131"/>
      <c r="F207" s="131"/>
      <c r="G207" s="130"/>
      <c r="H207" s="130"/>
      <c r="I207" s="130"/>
      <c r="J207" s="130"/>
      <c r="K207" s="43"/>
      <c r="L207" s="43"/>
    </row>
    <row r="208" spans="1:12">
      <c r="A208" s="130"/>
      <c r="B208" s="130"/>
      <c r="C208" s="130"/>
      <c r="D208" s="130"/>
      <c r="E208" s="131"/>
      <c r="F208" s="131"/>
      <c r="G208" s="130"/>
      <c r="H208" s="130"/>
      <c r="I208" s="130"/>
      <c r="J208" s="130"/>
      <c r="K208" s="43"/>
      <c r="L208" s="43"/>
    </row>
    <row r="209" spans="1:12">
      <c r="A209" s="130"/>
      <c r="B209" s="130"/>
      <c r="C209" s="130"/>
      <c r="D209" s="130"/>
      <c r="E209" s="131"/>
      <c r="F209" s="131"/>
      <c r="G209" s="130"/>
      <c r="H209" s="130"/>
      <c r="I209" s="130"/>
      <c r="J209" s="130"/>
      <c r="K209" s="43"/>
      <c r="L209" s="43"/>
    </row>
    <row r="210" spans="1:12">
      <c r="A210" s="130"/>
      <c r="B210" s="130"/>
      <c r="C210" s="130"/>
      <c r="D210" s="130"/>
      <c r="E210" s="131"/>
      <c r="F210" s="131"/>
      <c r="G210" s="130"/>
      <c r="H210" s="130"/>
      <c r="I210" s="130"/>
      <c r="J210" s="130"/>
      <c r="K210" s="43"/>
      <c r="L210" s="43"/>
    </row>
    <row r="211" spans="1:12">
      <c r="A211" s="130"/>
      <c r="B211" s="130"/>
      <c r="C211" s="130"/>
      <c r="D211" s="130"/>
      <c r="E211" s="131"/>
      <c r="F211" s="131"/>
      <c r="G211" s="130"/>
      <c r="H211" s="130"/>
      <c r="I211" s="130"/>
      <c r="J211" s="130"/>
      <c r="K211" s="43"/>
      <c r="L211" s="43"/>
    </row>
    <row r="212" spans="1:12">
      <c r="A212" s="130"/>
      <c r="B212" s="130"/>
      <c r="C212" s="130"/>
      <c r="D212" s="130"/>
      <c r="E212" s="131"/>
      <c r="F212" s="131"/>
      <c r="G212" s="130"/>
      <c r="H212" s="130"/>
      <c r="I212" s="130"/>
      <c r="J212" s="130"/>
      <c r="K212" s="43"/>
      <c r="L212" s="43"/>
    </row>
    <row r="213" spans="1:12">
      <c r="A213" s="130"/>
      <c r="B213" s="130"/>
      <c r="C213" s="130"/>
      <c r="D213" s="130"/>
      <c r="E213" s="131"/>
      <c r="F213" s="131"/>
      <c r="G213" s="130"/>
      <c r="H213" s="130"/>
      <c r="I213" s="130"/>
      <c r="J213" s="130"/>
      <c r="K213" s="43"/>
      <c r="L213" s="43"/>
    </row>
    <row r="214" spans="1:12">
      <c r="A214" s="130"/>
      <c r="B214" s="130"/>
      <c r="C214" s="130"/>
      <c r="D214" s="130"/>
      <c r="E214" s="131"/>
      <c r="F214" s="131"/>
      <c r="G214" s="130"/>
      <c r="H214" s="130"/>
      <c r="I214" s="130"/>
      <c r="J214" s="130"/>
      <c r="K214" s="43"/>
      <c r="L214" s="43"/>
    </row>
    <row r="215" spans="1:12">
      <c r="A215" s="130"/>
      <c r="B215" s="130"/>
      <c r="C215" s="130"/>
      <c r="D215" s="130"/>
      <c r="E215" s="131"/>
      <c r="F215" s="131"/>
      <c r="G215" s="130"/>
      <c r="H215" s="130"/>
      <c r="I215" s="130"/>
      <c r="J215" s="130"/>
      <c r="K215" s="43"/>
      <c r="L215" s="43"/>
    </row>
    <row r="216" spans="1:12">
      <c r="A216" s="130"/>
      <c r="B216" s="130"/>
      <c r="C216" s="130"/>
      <c r="D216" s="130"/>
      <c r="E216" s="131"/>
      <c r="F216" s="131"/>
      <c r="G216" s="130"/>
      <c r="H216" s="130"/>
      <c r="I216" s="130"/>
      <c r="J216" s="130"/>
      <c r="K216" s="43"/>
      <c r="L216" s="43"/>
    </row>
    <row r="217" spans="1:12">
      <c r="A217" s="130"/>
      <c r="B217" s="130"/>
      <c r="C217" s="130"/>
      <c r="D217" s="130"/>
      <c r="E217" s="131"/>
      <c r="F217" s="131"/>
      <c r="G217" s="130"/>
      <c r="H217" s="130"/>
      <c r="I217" s="130"/>
      <c r="J217" s="130"/>
      <c r="K217" s="43"/>
      <c r="L217" s="43"/>
    </row>
    <row r="218" spans="1:12">
      <c r="A218" s="130"/>
      <c r="B218" s="130"/>
      <c r="C218" s="130"/>
      <c r="D218" s="130"/>
      <c r="E218" s="131"/>
      <c r="F218" s="131"/>
      <c r="G218" s="130"/>
      <c r="H218" s="130"/>
      <c r="I218" s="130"/>
      <c r="J218" s="130"/>
      <c r="K218" s="43"/>
      <c r="L218" s="43"/>
    </row>
    <row r="219" spans="1:12">
      <c r="A219" s="130"/>
      <c r="B219" s="130"/>
      <c r="C219" s="130"/>
      <c r="D219" s="130"/>
      <c r="E219" s="131"/>
      <c r="F219" s="131"/>
      <c r="G219" s="130"/>
      <c r="H219" s="130"/>
      <c r="I219" s="130"/>
      <c r="J219" s="130"/>
      <c r="K219" s="43"/>
      <c r="L219" s="43"/>
    </row>
    <row r="220" spans="1:12">
      <c r="A220" s="130"/>
      <c r="B220" s="130"/>
      <c r="C220" s="130"/>
      <c r="D220" s="130"/>
      <c r="E220" s="131"/>
      <c r="F220" s="131"/>
      <c r="G220" s="130"/>
      <c r="H220" s="130"/>
      <c r="I220" s="130"/>
      <c r="J220" s="130"/>
      <c r="K220" s="43"/>
      <c r="L220" s="43"/>
    </row>
    <row r="221" spans="1:12">
      <c r="A221" s="130"/>
      <c r="B221" s="130"/>
      <c r="C221" s="130"/>
      <c r="D221" s="130"/>
      <c r="E221" s="131"/>
      <c r="F221" s="131"/>
      <c r="G221" s="130"/>
      <c r="H221" s="130"/>
      <c r="I221" s="130"/>
      <c r="J221" s="130"/>
      <c r="K221" s="43"/>
      <c r="L221" s="43"/>
    </row>
    <row r="222" spans="1:12">
      <c r="A222" s="130"/>
      <c r="B222" s="130"/>
      <c r="C222" s="130"/>
      <c r="D222" s="130"/>
      <c r="E222" s="131"/>
      <c r="F222" s="131"/>
      <c r="G222" s="130"/>
      <c r="H222" s="130"/>
      <c r="I222" s="130"/>
      <c r="J222" s="130"/>
      <c r="K222" s="43"/>
      <c r="L222" s="43"/>
    </row>
    <row r="223" spans="1:12">
      <c r="A223" s="130"/>
      <c r="B223" s="130"/>
      <c r="C223" s="130"/>
      <c r="D223" s="130"/>
      <c r="E223" s="131"/>
      <c r="F223" s="131"/>
      <c r="G223" s="130"/>
      <c r="H223" s="130"/>
      <c r="I223" s="130"/>
      <c r="J223" s="130"/>
      <c r="K223" s="43"/>
      <c r="L223" s="43"/>
    </row>
    <row r="224" spans="1:12">
      <c r="A224" s="130"/>
      <c r="B224" s="130"/>
      <c r="C224" s="130"/>
      <c r="D224" s="130"/>
      <c r="E224" s="131"/>
      <c r="F224" s="131"/>
      <c r="G224" s="130"/>
      <c r="H224" s="130"/>
      <c r="I224" s="130"/>
      <c r="J224" s="130"/>
      <c r="K224" s="43"/>
      <c r="L224" s="43"/>
    </row>
    <row r="225" spans="1:12">
      <c r="A225" s="130"/>
      <c r="B225" s="130"/>
      <c r="C225" s="130"/>
      <c r="D225" s="130"/>
      <c r="E225" s="131"/>
      <c r="F225" s="131"/>
      <c r="G225" s="130"/>
      <c r="H225" s="130"/>
      <c r="I225" s="130"/>
      <c r="J225" s="130"/>
      <c r="K225" s="43"/>
      <c r="L225" s="43"/>
    </row>
    <row r="226" spans="1:12">
      <c r="A226" s="130"/>
      <c r="B226" s="130"/>
      <c r="C226" s="130"/>
      <c r="D226" s="130"/>
      <c r="E226" s="131"/>
      <c r="F226" s="131"/>
      <c r="G226" s="130"/>
      <c r="H226" s="130"/>
      <c r="I226" s="130"/>
      <c r="J226" s="130"/>
      <c r="K226" s="43"/>
      <c r="L226" s="43"/>
    </row>
    <row r="227" spans="1:12">
      <c r="A227" s="130"/>
      <c r="B227" s="130"/>
      <c r="C227" s="130"/>
      <c r="D227" s="130"/>
      <c r="E227" s="131"/>
      <c r="F227" s="131"/>
      <c r="G227" s="130"/>
      <c r="H227" s="130"/>
      <c r="I227" s="130"/>
      <c r="J227" s="130"/>
      <c r="K227" s="43"/>
      <c r="L227" s="43"/>
    </row>
    <row r="228" spans="1:12">
      <c r="A228" s="130"/>
      <c r="B228" s="130"/>
      <c r="C228" s="130"/>
      <c r="D228" s="130"/>
      <c r="E228" s="131"/>
      <c r="F228" s="131"/>
      <c r="G228" s="130"/>
      <c r="H228" s="130"/>
      <c r="I228" s="130"/>
      <c r="J228" s="130"/>
      <c r="K228" s="43"/>
      <c r="L228" s="43"/>
    </row>
    <row r="229" spans="1:12">
      <c r="A229" s="130"/>
      <c r="B229" s="130"/>
      <c r="C229" s="130"/>
      <c r="D229" s="130"/>
      <c r="E229" s="131"/>
      <c r="F229" s="131"/>
      <c r="G229" s="130"/>
      <c r="H229" s="130"/>
      <c r="I229" s="130"/>
      <c r="J229" s="130"/>
      <c r="K229" s="43"/>
      <c r="L229" s="43"/>
    </row>
    <row r="230" spans="1:12">
      <c r="A230" s="130"/>
      <c r="B230" s="130"/>
      <c r="C230" s="130"/>
      <c r="D230" s="130"/>
      <c r="E230" s="131"/>
      <c r="F230" s="131"/>
      <c r="G230" s="130"/>
      <c r="H230" s="130"/>
      <c r="I230" s="130"/>
      <c r="J230" s="130"/>
      <c r="K230" s="43"/>
      <c r="L230" s="43"/>
    </row>
    <row r="231" spans="1:12">
      <c r="A231" s="130"/>
      <c r="B231" s="130"/>
      <c r="C231" s="130"/>
      <c r="D231" s="130"/>
      <c r="E231" s="131"/>
      <c r="F231" s="131"/>
      <c r="G231" s="130"/>
      <c r="H231" s="130"/>
      <c r="I231" s="130"/>
      <c r="J231" s="130"/>
      <c r="K231" s="43"/>
      <c r="L231" s="43"/>
    </row>
    <row r="232" spans="1:12">
      <c r="A232" s="130"/>
      <c r="B232" s="130"/>
      <c r="C232" s="130"/>
      <c r="D232" s="130"/>
      <c r="E232" s="131"/>
      <c r="F232" s="131"/>
      <c r="G232" s="130"/>
      <c r="H232" s="130"/>
      <c r="I232" s="130"/>
      <c r="J232" s="130"/>
      <c r="K232" s="43"/>
      <c r="L232" s="43"/>
    </row>
    <row r="233" spans="1:12">
      <c r="A233" s="130"/>
      <c r="B233" s="130"/>
      <c r="C233" s="130"/>
      <c r="D233" s="130"/>
      <c r="E233" s="131"/>
      <c r="F233" s="131"/>
      <c r="G233" s="130"/>
      <c r="H233" s="130"/>
      <c r="I233" s="130"/>
      <c r="J233" s="130"/>
      <c r="K233" s="43"/>
      <c r="L233" s="43"/>
    </row>
    <row r="234" spans="1:12">
      <c r="A234" s="130"/>
      <c r="B234" s="130"/>
      <c r="C234" s="130"/>
      <c r="D234" s="130"/>
      <c r="E234" s="131"/>
      <c r="F234" s="131"/>
      <c r="G234" s="130"/>
      <c r="H234" s="130"/>
      <c r="I234" s="130"/>
      <c r="J234" s="130"/>
      <c r="K234" s="43"/>
      <c r="L234" s="43"/>
    </row>
    <row r="235" spans="1:12">
      <c r="A235" s="130"/>
      <c r="B235" s="130"/>
      <c r="C235" s="130"/>
      <c r="D235" s="130"/>
      <c r="E235" s="131"/>
      <c r="F235" s="131"/>
      <c r="G235" s="130"/>
      <c r="H235" s="130"/>
      <c r="I235" s="130"/>
      <c r="J235" s="130"/>
      <c r="K235" s="43"/>
      <c r="L235" s="43"/>
    </row>
    <row r="236" spans="1:12">
      <c r="A236" s="130"/>
      <c r="B236" s="130"/>
      <c r="C236" s="130"/>
      <c r="D236" s="130"/>
      <c r="E236" s="131"/>
      <c r="F236" s="131"/>
      <c r="G236" s="130"/>
      <c r="H236" s="130"/>
      <c r="I236" s="130"/>
      <c r="J236" s="130"/>
      <c r="K236" s="43"/>
      <c r="L236" s="43"/>
    </row>
    <row r="237" spans="1:12">
      <c r="A237" s="130"/>
      <c r="B237" s="130"/>
      <c r="C237" s="130"/>
      <c r="D237" s="130"/>
      <c r="E237" s="131"/>
      <c r="F237" s="131"/>
      <c r="G237" s="130"/>
      <c r="H237" s="130"/>
      <c r="I237" s="130"/>
      <c r="J237" s="130"/>
      <c r="K237" s="43"/>
      <c r="L237" s="43"/>
    </row>
    <row r="238" spans="1:12">
      <c r="A238" s="130"/>
      <c r="B238" s="130"/>
      <c r="C238" s="130"/>
      <c r="D238" s="130"/>
      <c r="E238" s="131"/>
      <c r="F238" s="131"/>
      <c r="G238" s="130"/>
      <c r="H238" s="130"/>
      <c r="I238" s="130"/>
      <c r="J238" s="130"/>
      <c r="K238" s="43"/>
      <c r="L238" s="43"/>
    </row>
    <row r="239" spans="1:12">
      <c r="A239" s="130"/>
      <c r="B239" s="130"/>
      <c r="C239" s="130"/>
      <c r="D239" s="130"/>
      <c r="E239" s="131"/>
      <c r="F239" s="131"/>
      <c r="G239" s="130"/>
      <c r="H239" s="130"/>
      <c r="I239" s="130"/>
      <c r="J239" s="130"/>
      <c r="K239" s="43"/>
      <c r="L239" s="43"/>
    </row>
    <row r="240" spans="1:12">
      <c r="A240" s="130"/>
      <c r="B240" s="130"/>
      <c r="C240" s="130"/>
      <c r="D240" s="130"/>
      <c r="E240" s="131"/>
      <c r="F240" s="131"/>
      <c r="G240" s="130"/>
      <c r="H240" s="130"/>
      <c r="I240" s="130"/>
      <c r="J240" s="130"/>
      <c r="K240" s="43"/>
      <c r="L240" s="43"/>
    </row>
    <row r="241" spans="1:12">
      <c r="A241" s="130"/>
      <c r="B241" s="130"/>
      <c r="C241" s="130"/>
      <c r="D241" s="130"/>
      <c r="E241" s="131"/>
      <c r="F241" s="131"/>
      <c r="G241" s="130"/>
      <c r="H241" s="130"/>
      <c r="I241" s="130"/>
      <c r="J241" s="130"/>
      <c r="K241" s="43"/>
      <c r="L241" s="43"/>
    </row>
    <row r="242" spans="1:12">
      <c r="A242" s="130"/>
      <c r="B242" s="130"/>
      <c r="C242" s="130"/>
      <c r="D242" s="130"/>
      <c r="E242" s="131"/>
      <c r="F242" s="131"/>
      <c r="G242" s="130"/>
      <c r="H242" s="130"/>
      <c r="I242" s="130"/>
      <c r="J242" s="130"/>
      <c r="K242" s="43"/>
      <c r="L242" s="43"/>
    </row>
    <row r="243" spans="1:12">
      <c r="A243" s="130"/>
      <c r="B243" s="130"/>
      <c r="C243" s="130"/>
      <c r="D243" s="130"/>
      <c r="E243" s="131"/>
      <c r="F243" s="131"/>
      <c r="G243" s="130"/>
      <c r="H243" s="130"/>
      <c r="I243" s="130"/>
      <c r="J243" s="130"/>
      <c r="K243" s="43"/>
      <c r="L243" s="43"/>
    </row>
    <row r="244" spans="1:12">
      <c r="A244" s="130"/>
      <c r="B244" s="130"/>
      <c r="C244" s="130"/>
      <c r="D244" s="130"/>
      <c r="E244" s="131"/>
      <c r="F244" s="131"/>
      <c r="G244" s="130"/>
      <c r="H244" s="130"/>
      <c r="I244" s="130"/>
      <c r="J244" s="130"/>
      <c r="K244" s="43"/>
      <c r="L244" s="43"/>
    </row>
    <row r="245" spans="1:12">
      <c r="A245" s="130"/>
      <c r="B245" s="130"/>
      <c r="C245" s="130"/>
      <c r="D245" s="130"/>
      <c r="E245" s="131"/>
      <c r="F245" s="131"/>
      <c r="G245" s="130"/>
      <c r="H245" s="130"/>
      <c r="I245" s="130"/>
      <c r="J245" s="130"/>
      <c r="K245" s="43"/>
      <c r="L245" s="43"/>
    </row>
    <row r="246" spans="1:12">
      <c r="A246" s="130"/>
      <c r="B246" s="130"/>
      <c r="C246" s="130"/>
      <c r="D246" s="130"/>
      <c r="E246" s="131"/>
      <c r="F246" s="131"/>
      <c r="G246" s="130"/>
      <c r="H246" s="130"/>
      <c r="I246" s="130"/>
      <c r="J246" s="130"/>
      <c r="K246" s="43"/>
      <c r="L246" s="43"/>
    </row>
    <row r="247" spans="1:12">
      <c r="A247" s="130"/>
      <c r="B247" s="130"/>
      <c r="C247" s="130"/>
      <c r="D247" s="130"/>
      <c r="E247" s="131"/>
      <c r="F247" s="131"/>
      <c r="G247" s="130"/>
      <c r="H247" s="130"/>
      <c r="I247" s="130"/>
      <c r="J247" s="130"/>
      <c r="K247" s="43"/>
      <c r="L247" s="43"/>
    </row>
    <row r="248" spans="1:12">
      <c r="A248" s="130"/>
      <c r="B248" s="130"/>
      <c r="C248" s="130"/>
      <c r="D248" s="130"/>
      <c r="E248" s="131"/>
      <c r="F248" s="131"/>
      <c r="G248" s="130"/>
      <c r="H248" s="130"/>
      <c r="I248" s="130"/>
      <c r="J248" s="130"/>
      <c r="K248" s="43"/>
      <c r="L248" s="43"/>
    </row>
    <row r="249" spans="1:12">
      <c r="A249" s="130"/>
      <c r="B249" s="130"/>
      <c r="C249" s="130"/>
      <c r="D249" s="130"/>
      <c r="E249" s="131"/>
      <c r="F249" s="131"/>
      <c r="G249" s="130"/>
      <c r="H249" s="130"/>
      <c r="I249" s="130"/>
      <c r="J249" s="130"/>
      <c r="K249" s="43"/>
      <c r="L249" s="43"/>
    </row>
    <row r="250" spans="1:12">
      <c r="A250" s="130"/>
      <c r="B250" s="130"/>
      <c r="C250" s="130"/>
      <c r="D250" s="130"/>
      <c r="E250" s="131"/>
      <c r="F250" s="131"/>
      <c r="G250" s="130"/>
      <c r="H250" s="130"/>
      <c r="I250" s="130"/>
      <c r="J250" s="130"/>
      <c r="K250" s="43"/>
      <c r="L250" s="43"/>
    </row>
    <row r="251" spans="1:12">
      <c r="A251" s="130"/>
      <c r="B251" s="130"/>
      <c r="C251" s="130"/>
      <c r="D251" s="130"/>
      <c r="E251" s="131"/>
      <c r="F251" s="131"/>
      <c r="G251" s="130"/>
      <c r="H251" s="130"/>
      <c r="I251" s="130"/>
      <c r="J251" s="130"/>
      <c r="K251" s="43"/>
      <c r="L251" s="43"/>
    </row>
    <row r="252" spans="1:12">
      <c r="A252" s="130"/>
      <c r="B252" s="130"/>
      <c r="C252" s="130"/>
      <c r="D252" s="130"/>
      <c r="E252" s="131"/>
      <c r="F252" s="131"/>
      <c r="G252" s="130"/>
      <c r="H252" s="130"/>
      <c r="I252" s="130"/>
      <c r="J252" s="130"/>
      <c r="K252" s="43"/>
      <c r="L252" s="43"/>
    </row>
    <row r="253" spans="1:12">
      <c r="A253" s="130"/>
      <c r="B253" s="130"/>
      <c r="C253" s="130"/>
      <c r="D253" s="130"/>
      <c r="E253" s="131"/>
      <c r="F253" s="131"/>
      <c r="G253" s="130"/>
      <c r="H253" s="130"/>
      <c r="I253" s="130"/>
      <c r="J253" s="130"/>
      <c r="K253" s="43"/>
      <c r="L253" s="43"/>
    </row>
    <row r="254" spans="1:12">
      <c r="A254" s="130"/>
      <c r="B254" s="130"/>
      <c r="C254" s="130"/>
      <c r="D254" s="130"/>
      <c r="E254" s="131"/>
      <c r="F254" s="131"/>
      <c r="G254" s="130"/>
      <c r="H254" s="130"/>
      <c r="I254" s="130"/>
      <c r="J254" s="130"/>
      <c r="K254" s="43"/>
      <c r="L254" s="43"/>
    </row>
    <row r="255" spans="1:12">
      <c r="A255" s="130"/>
      <c r="B255" s="130"/>
      <c r="C255" s="130"/>
      <c r="D255" s="130"/>
      <c r="E255" s="131"/>
      <c r="F255" s="131"/>
      <c r="G255" s="130"/>
      <c r="H255" s="130"/>
      <c r="I255" s="130"/>
      <c r="J255" s="130"/>
      <c r="K255" s="43"/>
      <c r="L255" s="43"/>
    </row>
    <row r="256" spans="1:12">
      <c r="A256" s="130"/>
      <c r="B256" s="130"/>
      <c r="C256" s="130"/>
      <c r="D256" s="130"/>
      <c r="E256" s="131"/>
      <c r="F256" s="131"/>
      <c r="G256" s="130"/>
      <c r="H256" s="130"/>
      <c r="I256" s="130"/>
      <c r="J256" s="130"/>
      <c r="K256" s="43"/>
      <c r="L256" s="43"/>
    </row>
    <row r="257" spans="1:12">
      <c r="A257" s="130"/>
      <c r="B257" s="130"/>
      <c r="C257" s="130"/>
      <c r="D257" s="130"/>
      <c r="E257" s="131"/>
      <c r="F257" s="131"/>
      <c r="G257" s="130"/>
      <c r="H257" s="130"/>
      <c r="I257" s="130"/>
      <c r="J257" s="130"/>
      <c r="K257" s="43"/>
      <c r="L257" s="43"/>
    </row>
    <row r="258" spans="1:12">
      <c r="A258" s="130"/>
      <c r="B258" s="130"/>
      <c r="C258" s="130"/>
      <c r="D258" s="130"/>
      <c r="E258" s="131"/>
      <c r="F258" s="131"/>
      <c r="G258" s="130"/>
      <c r="H258" s="130"/>
      <c r="I258" s="130"/>
      <c r="J258" s="130"/>
      <c r="K258" s="43"/>
      <c r="L258" s="43"/>
    </row>
    <row r="259" spans="1:12">
      <c r="A259" s="130"/>
      <c r="B259" s="130"/>
      <c r="C259" s="130"/>
      <c r="D259" s="130"/>
      <c r="E259" s="131"/>
      <c r="F259" s="131"/>
      <c r="G259" s="130"/>
      <c r="H259" s="130"/>
      <c r="I259" s="130"/>
      <c r="J259" s="130"/>
      <c r="K259" s="43"/>
      <c r="L259" s="43"/>
    </row>
    <row r="260" spans="1:12">
      <c r="A260" s="130"/>
      <c r="B260" s="130"/>
      <c r="C260" s="130"/>
      <c r="D260" s="130"/>
      <c r="E260" s="131"/>
      <c r="F260" s="131"/>
      <c r="G260" s="130"/>
      <c r="H260" s="130"/>
      <c r="I260" s="130"/>
      <c r="J260" s="130"/>
      <c r="K260" s="43"/>
      <c r="L260" s="43"/>
    </row>
    <row r="261" spans="1:12">
      <c r="A261" s="130"/>
      <c r="B261" s="130"/>
      <c r="C261" s="130"/>
      <c r="D261" s="130"/>
      <c r="E261" s="131"/>
      <c r="F261" s="131"/>
      <c r="G261" s="130"/>
      <c r="H261" s="130"/>
      <c r="I261" s="130"/>
      <c r="J261" s="130"/>
      <c r="K261" s="43"/>
      <c r="L261" s="43"/>
    </row>
    <row r="262" spans="1:12">
      <c r="A262" s="130"/>
      <c r="B262" s="130"/>
      <c r="C262" s="130"/>
      <c r="D262" s="130"/>
      <c r="E262" s="131"/>
      <c r="F262" s="131"/>
      <c r="G262" s="130"/>
      <c r="H262" s="130"/>
      <c r="I262" s="130"/>
      <c r="J262" s="130"/>
      <c r="K262" s="43"/>
      <c r="L262" s="43"/>
    </row>
    <row r="263" spans="1:12">
      <c r="A263" s="130"/>
      <c r="B263" s="130"/>
      <c r="C263" s="130"/>
      <c r="D263" s="130"/>
      <c r="E263" s="131"/>
      <c r="F263" s="131"/>
      <c r="G263" s="130"/>
      <c r="H263" s="130"/>
      <c r="I263" s="130"/>
      <c r="J263" s="130"/>
      <c r="K263" s="43"/>
      <c r="L263" s="43"/>
    </row>
    <row r="264" spans="1:12">
      <c r="A264" s="130"/>
      <c r="B264" s="130"/>
      <c r="C264" s="130"/>
      <c r="D264" s="130"/>
      <c r="E264" s="131"/>
      <c r="F264" s="131"/>
      <c r="G264" s="130"/>
      <c r="H264" s="130"/>
      <c r="I264" s="130"/>
      <c r="J264" s="130"/>
      <c r="K264" s="43"/>
      <c r="L264" s="43"/>
    </row>
    <row r="265" spans="1:12">
      <c r="A265" s="130"/>
      <c r="B265" s="130"/>
      <c r="C265" s="130"/>
      <c r="D265" s="130"/>
      <c r="E265" s="131"/>
      <c r="F265" s="131"/>
      <c r="G265" s="130"/>
      <c r="H265" s="130"/>
      <c r="I265" s="130"/>
      <c r="J265" s="130"/>
      <c r="K265" s="43"/>
      <c r="L265" s="43"/>
    </row>
    <row r="266" spans="1:12">
      <c r="A266" s="130"/>
      <c r="B266" s="130"/>
      <c r="C266" s="130"/>
      <c r="D266" s="130"/>
      <c r="E266" s="131"/>
      <c r="F266" s="131"/>
      <c r="G266" s="130"/>
      <c r="H266" s="130"/>
      <c r="I266" s="130"/>
      <c r="J266" s="130"/>
      <c r="K266" s="43"/>
      <c r="L266" s="43"/>
    </row>
    <row r="267" spans="1:12">
      <c r="A267" s="130"/>
      <c r="B267" s="130"/>
      <c r="C267" s="130"/>
      <c r="D267" s="130"/>
      <c r="E267" s="131"/>
      <c r="F267" s="131"/>
      <c r="G267" s="130"/>
      <c r="H267" s="130"/>
      <c r="I267" s="130"/>
      <c r="J267" s="130"/>
      <c r="K267" s="43"/>
      <c r="L267" s="43"/>
    </row>
    <row r="268" spans="1:12">
      <c r="A268" s="130"/>
      <c r="B268" s="130"/>
      <c r="C268" s="130"/>
      <c r="D268" s="130"/>
      <c r="E268" s="131"/>
      <c r="F268" s="131"/>
      <c r="G268" s="130"/>
      <c r="H268" s="130"/>
      <c r="I268" s="130"/>
      <c r="J268" s="130"/>
      <c r="K268" s="43"/>
      <c r="L268" s="43"/>
    </row>
    <row r="269" spans="1:12">
      <c r="A269" s="130"/>
      <c r="B269" s="130"/>
      <c r="C269" s="130"/>
      <c r="D269" s="130"/>
      <c r="E269" s="131"/>
      <c r="F269" s="131"/>
      <c r="G269" s="130"/>
      <c r="H269" s="130"/>
      <c r="I269" s="130"/>
      <c r="J269" s="130"/>
      <c r="K269" s="43"/>
      <c r="L269" s="43"/>
    </row>
    <row r="270" spans="1:12">
      <c r="A270" s="130"/>
      <c r="B270" s="130"/>
      <c r="C270" s="130"/>
      <c r="D270" s="130"/>
      <c r="E270" s="131"/>
      <c r="F270" s="131"/>
      <c r="G270" s="130"/>
      <c r="H270" s="130"/>
      <c r="I270" s="130"/>
      <c r="J270" s="130"/>
      <c r="K270" s="43"/>
      <c r="L270" s="43"/>
    </row>
    <row r="271" spans="1:12">
      <c r="A271" s="130"/>
      <c r="B271" s="130"/>
      <c r="C271" s="130"/>
      <c r="D271" s="130"/>
      <c r="E271" s="131"/>
      <c r="F271" s="131"/>
      <c r="G271" s="130"/>
      <c r="H271" s="130"/>
      <c r="I271" s="130"/>
      <c r="J271" s="130"/>
      <c r="K271" s="43"/>
      <c r="L271" s="43"/>
    </row>
    <row r="272" spans="1:12">
      <c r="A272" s="130"/>
      <c r="B272" s="130"/>
      <c r="C272" s="130"/>
      <c r="D272" s="130"/>
      <c r="E272" s="131"/>
      <c r="F272" s="131"/>
      <c r="G272" s="130"/>
      <c r="H272" s="130"/>
      <c r="I272" s="130"/>
      <c r="J272" s="130"/>
      <c r="K272" s="43"/>
      <c r="L272" s="43"/>
    </row>
    <row r="273" spans="1:12">
      <c r="A273" s="130"/>
      <c r="B273" s="130"/>
      <c r="C273" s="130"/>
      <c r="D273" s="130"/>
      <c r="E273" s="131"/>
      <c r="F273" s="131"/>
      <c r="G273" s="130"/>
      <c r="H273" s="130"/>
      <c r="I273" s="130"/>
      <c r="J273" s="130"/>
      <c r="K273" s="43"/>
      <c r="L273" s="43"/>
    </row>
    <row r="274" spans="1:12">
      <c r="A274" s="130"/>
      <c r="B274" s="130"/>
      <c r="C274" s="130"/>
      <c r="D274" s="130"/>
      <c r="E274" s="131"/>
      <c r="F274" s="131"/>
      <c r="G274" s="130"/>
      <c r="H274" s="130"/>
      <c r="I274" s="130"/>
      <c r="J274" s="130"/>
      <c r="K274" s="43"/>
      <c r="L274" s="43"/>
    </row>
    <row r="275" spans="1:12">
      <c r="A275" s="130"/>
      <c r="B275" s="130"/>
      <c r="C275" s="130"/>
      <c r="D275" s="130"/>
      <c r="E275" s="131"/>
      <c r="F275" s="131"/>
      <c r="G275" s="130"/>
      <c r="H275" s="130"/>
      <c r="I275" s="130"/>
      <c r="J275" s="130"/>
      <c r="K275" s="43"/>
      <c r="L275" s="43"/>
    </row>
    <row r="276" spans="1:12">
      <c r="A276" s="130"/>
      <c r="B276" s="130"/>
      <c r="C276" s="130"/>
      <c r="D276" s="130"/>
      <c r="E276" s="131"/>
      <c r="F276" s="131"/>
      <c r="G276" s="130"/>
      <c r="H276" s="130"/>
      <c r="I276" s="130"/>
      <c r="J276" s="130"/>
      <c r="K276" s="43"/>
      <c r="L276" s="43"/>
    </row>
    <row r="277" spans="1:12">
      <c r="A277" s="130"/>
      <c r="B277" s="130"/>
      <c r="C277" s="130"/>
      <c r="D277" s="130"/>
      <c r="E277" s="131"/>
      <c r="F277" s="131"/>
      <c r="G277" s="130"/>
      <c r="H277" s="130"/>
      <c r="I277" s="130"/>
      <c r="J277" s="130"/>
      <c r="K277" s="43"/>
      <c r="L277" s="43"/>
    </row>
    <row r="278" spans="1:12">
      <c r="A278" s="130"/>
      <c r="B278" s="130"/>
      <c r="C278" s="130"/>
      <c r="D278" s="130"/>
      <c r="E278" s="131"/>
      <c r="F278" s="131"/>
      <c r="G278" s="130"/>
      <c r="H278" s="130"/>
      <c r="I278" s="130"/>
      <c r="J278" s="130"/>
      <c r="K278" s="43"/>
      <c r="L278" s="43"/>
    </row>
    <row r="279" spans="1:12">
      <c r="A279" s="130"/>
      <c r="B279" s="130"/>
      <c r="C279" s="130"/>
      <c r="D279" s="130"/>
      <c r="E279" s="131"/>
      <c r="F279" s="131"/>
      <c r="G279" s="130"/>
      <c r="H279" s="130"/>
      <c r="I279" s="130"/>
      <c r="J279" s="130"/>
      <c r="K279" s="43"/>
      <c r="L279" s="43"/>
    </row>
    <row r="280" spans="1:12">
      <c r="A280" s="130"/>
      <c r="B280" s="130"/>
      <c r="C280" s="130"/>
      <c r="D280" s="130"/>
      <c r="E280" s="131"/>
      <c r="F280" s="131"/>
      <c r="G280" s="130"/>
      <c r="H280" s="130"/>
      <c r="I280" s="130"/>
      <c r="J280" s="130"/>
      <c r="K280" s="43"/>
      <c r="L280" s="43"/>
    </row>
    <row r="281" spans="1:12">
      <c r="A281" s="130"/>
      <c r="B281" s="130"/>
      <c r="C281" s="130"/>
      <c r="D281" s="130"/>
      <c r="E281" s="131"/>
      <c r="F281" s="131"/>
      <c r="G281" s="130"/>
      <c r="H281" s="130"/>
      <c r="I281" s="130"/>
      <c r="J281" s="130"/>
      <c r="K281" s="43"/>
      <c r="L281" s="43"/>
    </row>
    <row r="282" spans="1:12">
      <c r="A282" s="130"/>
      <c r="B282" s="130"/>
      <c r="C282" s="130"/>
      <c r="D282" s="130"/>
      <c r="E282" s="131"/>
      <c r="F282" s="131"/>
      <c r="G282" s="130"/>
      <c r="H282" s="130"/>
      <c r="I282" s="130"/>
      <c r="J282" s="130"/>
      <c r="K282" s="43"/>
      <c r="L282" s="43"/>
    </row>
    <row r="283" spans="1:12">
      <c r="A283" s="130"/>
      <c r="B283" s="130"/>
      <c r="C283" s="130"/>
      <c r="D283" s="130"/>
      <c r="E283" s="131"/>
      <c r="F283" s="131"/>
      <c r="G283" s="130"/>
      <c r="H283" s="130"/>
      <c r="I283" s="130"/>
      <c r="J283" s="130"/>
      <c r="K283" s="43"/>
      <c r="L283" s="43"/>
    </row>
    <row r="284" spans="1:12">
      <c r="A284" s="130"/>
      <c r="B284" s="130"/>
      <c r="C284" s="130"/>
      <c r="D284" s="130"/>
      <c r="E284" s="131"/>
      <c r="F284" s="131"/>
      <c r="G284" s="130"/>
      <c r="H284" s="130"/>
      <c r="I284" s="130"/>
      <c r="J284" s="130"/>
      <c r="K284" s="43"/>
      <c r="L284" s="43"/>
    </row>
    <row r="285" spans="1:12">
      <c r="A285" s="130"/>
      <c r="B285" s="130"/>
      <c r="C285" s="130"/>
      <c r="D285" s="130"/>
      <c r="E285" s="131"/>
      <c r="F285" s="131"/>
      <c r="G285" s="130"/>
      <c r="H285" s="130"/>
      <c r="I285" s="130"/>
      <c r="J285" s="130"/>
      <c r="K285" s="43"/>
      <c r="L285" s="43"/>
    </row>
    <row r="286" spans="1:12">
      <c r="A286" s="130"/>
      <c r="B286" s="130"/>
      <c r="C286" s="130"/>
      <c r="D286" s="130"/>
      <c r="E286" s="131"/>
      <c r="F286" s="131"/>
      <c r="G286" s="130"/>
      <c r="H286" s="130"/>
      <c r="I286" s="130"/>
      <c r="J286" s="130"/>
      <c r="K286" s="43"/>
      <c r="L286" s="43"/>
    </row>
    <row r="287" spans="1:12">
      <c r="A287" s="130"/>
      <c r="B287" s="130"/>
      <c r="C287" s="130"/>
      <c r="D287" s="130"/>
      <c r="E287" s="131"/>
      <c r="F287" s="131"/>
      <c r="G287" s="130"/>
      <c r="H287" s="130"/>
      <c r="I287" s="130"/>
      <c r="J287" s="130"/>
      <c r="K287" s="43"/>
      <c r="L287" s="43"/>
    </row>
    <row r="288" spans="1:12">
      <c r="A288" s="130"/>
      <c r="B288" s="130"/>
      <c r="C288" s="130"/>
      <c r="D288" s="130"/>
      <c r="E288" s="131"/>
      <c r="F288" s="131"/>
      <c r="G288" s="130"/>
      <c r="H288" s="130"/>
      <c r="I288" s="130"/>
      <c r="J288" s="130"/>
      <c r="K288" s="43"/>
      <c r="L288" s="43"/>
    </row>
    <row r="289" spans="1:12">
      <c r="A289" s="130"/>
      <c r="B289" s="130"/>
      <c r="C289" s="130"/>
      <c r="D289" s="130"/>
      <c r="E289" s="131"/>
      <c r="F289" s="131"/>
      <c r="G289" s="130"/>
      <c r="H289" s="130"/>
      <c r="I289" s="130"/>
      <c r="J289" s="130"/>
      <c r="K289" s="43"/>
      <c r="L289" s="43"/>
    </row>
    <row r="290" spans="1:12">
      <c r="A290" s="130"/>
      <c r="B290" s="130"/>
      <c r="C290" s="130"/>
      <c r="D290" s="130"/>
      <c r="E290" s="131"/>
      <c r="F290" s="131"/>
      <c r="G290" s="130"/>
      <c r="H290" s="130"/>
      <c r="I290" s="130"/>
      <c r="J290" s="130"/>
      <c r="K290" s="43"/>
      <c r="L290" s="43"/>
    </row>
    <row r="291" spans="1:12">
      <c r="A291" s="130"/>
      <c r="B291" s="130"/>
      <c r="C291" s="130"/>
      <c r="D291" s="130"/>
      <c r="E291" s="131"/>
      <c r="F291" s="131"/>
      <c r="G291" s="130"/>
      <c r="H291" s="130"/>
      <c r="I291" s="130"/>
      <c r="J291" s="130"/>
      <c r="K291" s="43"/>
      <c r="L291" s="43"/>
    </row>
    <row r="292" spans="1:12">
      <c r="A292" s="130"/>
      <c r="B292" s="130"/>
      <c r="C292" s="130"/>
      <c r="D292" s="130"/>
      <c r="E292" s="131"/>
      <c r="F292" s="131"/>
      <c r="G292" s="130"/>
      <c r="H292" s="130"/>
      <c r="I292" s="130"/>
      <c r="J292" s="130"/>
      <c r="K292" s="43"/>
      <c r="L292" s="43"/>
    </row>
    <row r="293" spans="1:12">
      <c r="A293" s="130"/>
      <c r="B293" s="130"/>
      <c r="C293" s="130"/>
      <c r="D293" s="130"/>
      <c r="E293" s="131"/>
      <c r="F293" s="131"/>
      <c r="G293" s="130"/>
      <c r="H293" s="130"/>
      <c r="I293" s="130"/>
      <c r="J293" s="130"/>
      <c r="K293" s="43"/>
      <c r="L293" s="43"/>
    </row>
    <row r="294" spans="1:12">
      <c r="A294" s="130"/>
      <c r="B294" s="130"/>
      <c r="C294" s="130"/>
      <c r="D294" s="130"/>
      <c r="E294" s="131"/>
      <c r="F294" s="131"/>
      <c r="G294" s="130"/>
      <c r="H294" s="130"/>
      <c r="I294" s="130"/>
      <c r="J294" s="130"/>
      <c r="K294" s="43"/>
      <c r="L294" s="43"/>
    </row>
    <row r="295" spans="1:12">
      <c r="A295" s="130"/>
      <c r="B295" s="130"/>
      <c r="C295" s="130"/>
      <c r="D295" s="130"/>
      <c r="E295" s="131"/>
      <c r="F295" s="131"/>
      <c r="G295" s="130"/>
      <c r="H295" s="130"/>
      <c r="I295" s="130"/>
      <c r="J295" s="130"/>
      <c r="K295" s="43"/>
      <c r="L295" s="43"/>
    </row>
    <row r="296" spans="1:12">
      <c r="A296" s="130"/>
      <c r="B296" s="130"/>
      <c r="C296" s="130"/>
      <c r="D296" s="130"/>
      <c r="E296" s="131"/>
      <c r="F296" s="131"/>
      <c r="G296" s="130"/>
      <c r="H296" s="130"/>
      <c r="I296" s="130"/>
      <c r="J296" s="130"/>
      <c r="K296" s="43"/>
      <c r="L296" s="43"/>
    </row>
    <row r="297" spans="1:12">
      <c r="A297" s="130"/>
      <c r="B297" s="130"/>
      <c r="C297" s="130"/>
      <c r="D297" s="130"/>
      <c r="E297" s="131"/>
      <c r="F297" s="131"/>
      <c r="G297" s="130"/>
      <c r="H297" s="130"/>
      <c r="I297" s="130"/>
      <c r="J297" s="130"/>
      <c r="K297" s="43"/>
      <c r="L297" s="43"/>
    </row>
    <row r="298" spans="1:12">
      <c r="A298" s="130"/>
      <c r="B298" s="130"/>
      <c r="C298" s="130"/>
      <c r="D298" s="130"/>
      <c r="E298" s="131"/>
      <c r="F298" s="131"/>
      <c r="G298" s="130"/>
      <c r="H298" s="130"/>
      <c r="I298" s="130"/>
      <c r="J298" s="130"/>
      <c r="K298" s="43"/>
      <c r="L298" s="43"/>
    </row>
    <row r="299" spans="1:12">
      <c r="A299" s="130"/>
      <c r="B299" s="130"/>
      <c r="C299" s="130"/>
      <c r="D299" s="130"/>
      <c r="E299" s="131"/>
      <c r="F299" s="131"/>
      <c r="G299" s="130"/>
      <c r="H299" s="130"/>
      <c r="I299" s="130"/>
      <c r="J299" s="130"/>
      <c r="K299" s="43"/>
      <c r="L299" s="43"/>
    </row>
    <row r="300" spans="1:12">
      <c r="A300" s="130"/>
      <c r="B300" s="130"/>
      <c r="C300" s="130"/>
      <c r="D300" s="130"/>
      <c r="E300" s="131"/>
      <c r="F300" s="131"/>
      <c r="G300" s="130"/>
      <c r="H300" s="130"/>
      <c r="I300" s="130"/>
      <c r="J300" s="130"/>
      <c r="K300" s="43"/>
      <c r="L300" s="43"/>
    </row>
    <row r="301" spans="1:12">
      <c r="A301" s="130"/>
      <c r="B301" s="130"/>
      <c r="C301" s="130"/>
      <c r="D301" s="130"/>
      <c r="E301" s="131"/>
      <c r="F301" s="131"/>
      <c r="G301" s="130"/>
      <c r="H301" s="130"/>
      <c r="I301" s="130"/>
      <c r="J301" s="130"/>
      <c r="K301" s="43"/>
      <c r="L301" s="43"/>
    </row>
    <row r="302" spans="1:12">
      <c r="A302" s="130"/>
      <c r="B302" s="130"/>
      <c r="C302" s="130"/>
      <c r="D302" s="130"/>
      <c r="E302" s="131"/>
      <c r="F302" s="131"/>
      <c r="G302" s="130"/>
      <c r="H302" s="130"/>
      <c r="I302" s="130"/>
      <c r="J302" s="130"/>
      <c r="K302" s="43"/>
      <c r="L302" s="43"/>
    </row>
    <row r="303" spans="1:12">
      <c r="A303" s="130"/>
      <c r="B303" s="130"/>
      <c r="C303" s="130"/>
      <c r="D303" s="130"/>
      <c r="E303" s="131"/>
      <c r="F303" s="131"/>
      <c r="G303" s="130"/>
      <c r="H303" s="130"/>
      <c r="I303" s="130"/>
      <c r="J303" s="130"/>
      <c r="K303" s="43"/>
      <c r="L303" s="43"/>
    </row>
    <row r="304" spans="1:12">
      <c r="A304" s="130"/>
      <c r="B304" s="130"/>
      <c r="C304" s="130"/>
      <c r="D304" s="130"/>
      <c r="E304" s="131"/>
      <c r="F304" s="131"/>
      <c r="G304" s="130"/>
      <c r="H304" s="130"/>
      <c r="I304" s="130"/>
      <c r="J304" s="130"/>
      <c r="K304" s="43"/>
      <c r="L304" s="43"/>
    </row>
    <row r="305" spans="1:12">
      <c r="A305" s="130"/>
      <c r="B305" s="130"/>
      <c r="C305" s="130"/>
      <c r="D305" s="130"/>
      <c r="E305" s="131"/>
      <c r="F305" s="131"/>
      <c r="G305" s="130"/>
      <c r="H305" s="130"/>
      <c r="I305" s="130"/>
      <c r="J305" s="130"/>
      <c r="K305" s="43"/>
      <c r="L305" s="43"/>
    </row>
    <row r="306" spans="1:12">
      <c r="A306" s="130"/>
      <c r="B306" s="130"/>
      <c r="C306" s="130"/>
      <c r="D306" s="130"/>
      <c r="E306" s="131"/>
      <c r="F306" s="131"/>
      <c r="G306" s="130"/>
      <c r="H306" s="130"/>
      <c r="I306" s="130"/>
      <c r="J306" s="130"/>
      <c r="K306" s="43"/>
      <c r="L306" s="43"/>
    </row>
    <row r="307" spans="1:12">
      <c r="A307" s="130"/>
      <c r="B307" s="130"/>
      <c r="C307" s="130"/>
      <c r="D307" s="130"/>
      <c r="E307" s="131"/>
      <c r="F307" s="131"/>
      <c r="G307" s="130"/>
      <c r="H307" s="130"/>
      <c r="I307" s="130"/>
      <c r="J307" s="130"/>
      <c r="K307" s="43"/>
      <c r="L307" s="43"/>
    </row>
    <row r="308" spans="1:12">
      <c r="A308" s="130"/>
      <c r="B308" s="130"/>
      <c r="C308" s="130"/>
      <c r="D308" s="130"/>
      <c r="E308" s="131"/>
      <c r="F308" s="131"/>
      <c r="G308" s="130"/>
      <c r="H308" s="130"/>
      <c r="I308" s="130"/>
      <c r="J308" s="130"/>
      <c r="K308" s="43"/>
      <c r="L308" s="43"/>
    </row>
    <row r="309" spans="1:12">
      <c r="A309" s="130"/>
      <c r="B309" s="130"/>
      <c r="C309" s="130"/>
      <c r="D309" s="130"/>
      <c r="E309" s="131"/>
      <c r="F309" s="131"/>
      <c r="G309" s="130"/>
      <c r="H309" s="130"/>
      <c r="I309" s="130"/>
      <c r="J309" s="130"/>
      <c r="K309" s="43"/>
      <c r="L309" s="43"/>
    </row>
    <row r="310" spans="1:12">
      <c r="A310" s="130"/>
      <c r="B310" s="130"/>
      <c r="C310" s="130"/>
      <c r="D310" s="130"/>
      <c r="E310" s="131"/>
      <c r="F310" s="131"/>
      <c r="G310" s="130"/>
      <c r="H310" s="130"/>
      <c r="I310" s="130"/>
      <c r="J310" s="130"/>
      <c r="K310" s="43"/>
      <c r="L310" s="43"/>
    </row>
    <row r="311" spans="1:12">
      <c r="A311" s="130"/>
      <c r="B311" s="130"/>
      <c r="C311" s="130"/>
      <c r="D311" s="130"/>
      <c r="E311" s="131"/>
      <c r="F311" s="131"/>
      <c r="G311" s="130"/>
      <c r="H311" s="130"/>
      <c r="I311" s="130"/>
      <c r="J311" s="130"/>
      <c r="K311" s="43"/>
      <c r="L311" s="43"/>
    </row>
    <row r="312" spans="1:12">
      <c r="A312" s="130"/>
      <c r="B312" s="130"/>
      <c r="C312" s="130"/>
      <c r="D312" s="130"/>
      <c r="E312" s="131"/>
      <c r="F312" s="131"/>
      <c r="G312" s="130"/>
      <c r="H312" s="130"/>
      <c r="I312" s="130"/>
      <c r="J312" s="130"/>
      <c r="K312" s="43"/>
      <c r="L312" s="43"/>
    </row>
    <row r="313" spans="1:12">
      <c r="A313" s="130"/>
      <c r="B313" s="130"/>
      <c r="C313" s="130"/>
      <c r="D313" s="130"/>
      <c r="E313" s="131"/>
      <c r="F313" s="131"/>
      <c r="G313" s="130"/>
      <c r="H313" s="130"/>
      <c r="I313" s="130"/>
      <c r="J313" s="130"/>
      <c r="K313" s="43"/>
      <c r="L313" s="43"/>
    </row>
    <row r="314" spans="1:12">
      <c r="A314" s="130"/>
      <c r="B314" s="130"/>
      <c r="C314" s="130"/>
      <c r="D314" s="130"/>
      <c r="E314" s="131"/>
      <c r="F314" s="131"/>
      <c r="G314" s="130"/>
      <c r="H314" s="130"/>
      <c r="I314" s="130"/>
      <c r="J314" s="130"/>
      <c r="K314" s="43"/>
      <c r="L314" s="43"/>
    </row>
    <row r="315" spans="1:12">
      <c r="A315" s="130"/>
      <c r="B315" s="130"/>
      <c r="C315" s="130"/>
      <c r="D315" s="130"/>
      <c r="E315" s="131"/>
      <c r="F315" s="131"/>
      <c r="G315" s="130"/>
      <c r="H315" s="130"/>
      <c r="I315" s="130"/>
      <c r="J315" s="130"/>
      <c r="K315" s="43"/>
      <c r="L315" s="43"/>
    </row>
    <row r="316" spans="1:12">
      <c r="A316" s="130"/>
      <c r="B316" s="130"/>
      <c r="C316" s="130"/>
      <c r="D316" s="130"/>
      <c r="E316" s="131"/>
      <c r="F316" s="131"/>
      <c r="G316" s="130"/>
      <c r="H316" s="130"/>
      <c r="I316" s="130"/>
      <c r="J316" s="130"/>
      <c r="K316" s="43"/>
      <c r="L316" s="43"/>
    </row>
    <row r="317" spans="1:12">
      <c r="A317" s="130"/>
      <c r="B317" s="130"/>
      <c r="C317" s="130"/>
      <c r="D317" s="130"/>
      <c r="E317" s="131"/>
      <c r="F317" s="131"/>
      <c r="G317" s="130"/>
      <c r="H317" s="130"/>
      <c r="I317" s="130"/>
      <c r="J317" s="130"/>
      <c r="K317" s="43"/>
      <c r="L317" s="43"/>
    </row>
    <row r="318" spans="1:12">
      <c r="A318" s="130"/>
      <c r="B318" s="130"/>
      <c r="C318" s="130"/>
      <c r="D318" s="130"/>
      <c r="E318" s="131"/>
      <c r="F318" s="131"/>
      <c r="G318" s="130"/>
      <c r="H318" s="130"/>
      <c r="I318" s="130"/>
      <c r="J318" s="130"/>
      <c r="K318" s="43"/>
      <c r="L318" s="43"/>
    </row>
    <row r="319" spans="1:12">
      <c r="A319" s="130"/>
      <c r="B319" s="130"/>
      <c r="C319" s="130"/>
      <c r="D319" s="130"/>
      <c r="E319" s="131"/>
      <c r="F319" s="131"/>
      <c r="G319" s="130"/>
      <c r="H319" s="130"/>
      <c r="I319" s="130"/>
      <c r="J319" s="130"/>
      <c r="K319" s="43"/>
      <c r="L319" s="43"/>
    </row>
    <row r="320" spans="1:12">
      <c r="A320" s="130"/>
      <c r="B320" s="130"/>
      <c r="C320" s="130"/>
      <c r="D320" s="130"/>
      <c r="E320" s="131"/>
      <c r="F320" s="131"/>
      <c r="G320" s="130"/>
      <c r="H320" s="130"/>
      <c r="I320" s="130"/>
      <c r="J320" s="130"/>
      <c r="K320" s="43"/>
      <c r="L320" s="43"/>
    </row>
    <row r="321" spans="1:12">
      <c r="A321" s="130"/>
      <c r="B321" s="130"/>
      <c r="C321" s="130"/>
      <c r="D321" s="130"/>
      <c r="E321" s="131"/>
      <c r="F321" s="131"/>
      <c r="G321" s="130"/>
      <c r="H321" s="130"/>
      <c r="I321" s="130"/>
      <c r="J321" s="130"/>
      <c r="K321" s="43"/>
      <c r="L321" s="43"/>
    </row>
    <row r="322" spans="1:12">
      <c r="A322" s="130"/>
      <c r="B322" s="130"/>
      <c r="C322" s="130"/>
      <c r="D322" s="130"/>
      <c r="E322" s="131"/>
      <c r="F322" s="131"/>
      <c r="G322" s="130"/>
      <c r="H322" s="130"/>
      <c r="I322" s="130"/>
      <c r="J322" s="130"/>
      <c r="K322" s="43"/>
      <c r="L322" s="43"/>
    </row>
    <row r="323" spans="1:12">
      <c r="A323" s="130"/>
      <c r="B323" s="130"/>
      <c r="C323" s="130"/>
      <c r="D323" s="130"/>
      <c r="E323" s="131"/>
      <c r="F323" s="131"/>
      <c r="G323" s="130"/>
      <c r="H323" s="130"/>
      <c r="I323" s="130"/>
      <c r="J323" s="130"/>
      <c r="K323" s="43"/>
      <c r="L323" s="43"/>
    </row>
    <row r="324" spans="1:12">
      <c r="A324" s="130"/>
      <c r="B324" s="130"/>
      <c r="C324" s="130"/>
      <c r="D324" s="130"/>
      <c r="E324" s="131"/>
      <c r="F324" s="131"/>
      <c r="G324" s="130"/>
      <c r="H324" s="130"/>
      <c r="I324" s="130"/>
      <c r="J324" s="130"/>
      <c r="K324" s="43"/>
      <c r="L324" s="43"/>
    </row>
    <row r="325" spans="1:12">
      <c r="A325" s="130"/>
      <c r="B325" s="130"/>
      <c r="C325" s="130"/>
      <c r="D325" s="130"/>
      <c r="E325" s="131"/>
      <c r="F325" s="131"/>
      <c r="G325" s="130"/>
      <c r="H325" s="130"/>
      <c r="I325" s="130"/>
      <c r="J325" s="130"/>
      <c r="K325" s="43"/>
      <c r="L325" s="43"/>
    </row>
    <row r="326" spans="1:12">
      <c r="A326" s="130"/>
      <c r="B326" s="130"/>
      <c r="C326" s="130"/>
      <c r="D326" s="130"/>
      <c r="E326" s="131"/>
      <c r="F326" s="131"/>
      <c r="G326" s="130"/>
      <c r="H326" s="130"/>
      <c r="I326" s="130"/>
      <c r="J326" s="130"/>
      <c r="K326" s="43"/>
      <c r="L326" s="43"/>
    </row>
    <row r="327" spans="1:12">
      <c r="A327" s="130"/>
      <c r="B327" s="130"/>
      <c r="C327" s="130"/>
      <c r="D327" s="130"/>
      <c r="E327" s="131"/>
      <c r="F327" s="131"/>
      <c r="G327" s="130"/>
      <c r="H327" s="130"/>
      <c r="I327" s="130"/>
      <c r="J327" s="130"/>
      <c r="K327" s="43"/>
      <c r="L327" s="43"/>
    </row>
    <row r="328" spans="1:12">
      <c r="A328" s="130"/>
      <c r="B328" s="130"/>
      <c r="C328" s="130"/>
      <c r="D328" s="130"/>
      <c r="E328" s="131"/>
      <c r="F328" s="131"/>
      <c r="G328" s="130"/>
      <c r="H328" s="130"/>
      <c r="I328" s="130"/>
      <c r="J328" s="130"/>
      <c r="K328" s="43"/>
      <c r="L328" s="43"/>
    </row>
    <row r="329" spans="1:12">
      <c r="A329" s="130"/>
      <c r="B329" s="130"/>
      <c r="C329" s="130"/>
      <c r="D329" s="130"/>
      <c r="E329" s="131"/>
      <c r="F329" s="131"/>
      <c r="G329" s="130"/>
      <c r="H329" s="130"/>
      <c r="I329" s="130"/>
      <c r="J329" s="130"/>
      <c r="K329" s="43"/>
      <c r="L329" s="43"/>
    </row>
    <row r="330" spans="1:12">
      <c r="A330" s="130"/>
      <c r="B330" s="130"/>
      <c r="C330" s="130"/>
      <c r="D330" s="130"/>
      <c r="E330" s="131"/>
      <c r="F330" s="131"/>
      <c r="G330" s="130"/>
      <c r="H330" s="130"/>
      <c r="I330" s="130"/>
      <c r="J330" s="130"/>
      <c r="K330" s="43"/>
      <c r="L330" s="43"/>
    </row>
    <row r="331" spans="1:12">
      <c r="A331" s="130"/>
      <c r="B331" s="130"/>
      <c r="C331" s="130"/>
      <c r="D331" s="130"/>
      <c r="E331" s="131"/>
      <c r="F331" s="131"/>
      <c r="G331" s="130"/>
      <c r="H331" s="130"/>
      <c r="I331" s="130"/>
      <c r="J331" s="130"/>
      <c r="K331" s="43"/>
      <c r="L331" s="43"/>
    </row>
    <row r="332" spans="1:12">
      <c r="A332" s="130"/>
      <c r="B332" s="130"/>
      <c r="C332" s="130"/>
      <c r="D332" s="130"/>
      <c r="E332" s="131"/>
      <c r="F332" s="131"/>
      <c r="G332" s="130"/>
      <c r="H332" s="130"/>
      <c r="I332" s="130"/>
      <c r="J332" s="130"/>
      <c r="K332" s="43"/>
      <c r="L332" s="43"/>
    </row>
    <row r="333" spans="1:12">
      <c r="A333" s="130"/>
      <c r="B333" s="130"/>
      <c r="C333" s="130"/>
      <c r="D333" s="130"/>
      <c r="E333" s="131"/>
      <c r="F333" s="131"/>
      <c r="G333" s="130"/>
      <c r="H333" s="130"/>
      <c r="I333" s="130"/>
      <c r="J333" s="130"/>
      <c r="K333" s="43"/>
      <c r="L333" s="43"/>
    </row>
    <row r="334" spans="1:12">
      <c r="A334" s="130"/>
      <c r="B334" s="130"/>
      <c r="C334" s="130"/>
      <c r="D334" s="130"/>
      <c r="E334" s="131"/>
      <c r="F334" s="131"/>
      <c r="G334" s="130"/>
      <c r="H334" s="130"/>
      <c r="I334" s="130"/>
      <c r="J334" s="130"/>
      <c r="K334" s="43"/>
      <c r="L334" s="43"/>
    </row>
    <row r="335" spans="1:12">
      <c r="A335" s="130"/>
      <c r="B335" s="130"/>
      <c r="C335" s="130"/>
      <c r="D335" s="130"/>
      <c r="E335" s="131"/>
      <c r="F335" s="131"/>
      <c r="G335" s="130"/>
      <c r="H335" s="130"/>
      <c r="I335" s="130"/>
      <c r="J335" s="130"/>
      <c r="K335" s="43"/>
      <c r="L335" s="43"/>
    </row>
    <row r="336" spans="1:12">
      <c r="A336" s="130"/>
      <c r="B336" s="130"/>
      <c r="C336" s="130"/>
      <c r="D336" s="130"/>
      <c r="E336" s="131"/>
      <c r="F336" s="131"/>
      <c r="G336" s="130"/>
      <c r="H336" s="130"/>
      <c r="I336" s="130"/>
      <c r="J336" s="130"/>
      <c r="K336" s="43"/>
      <c r="L336" s="43"/>
    </row>
    <row r="337" spans="1:12">
      <c r="A337" s="130"/>
      <c r="B337" s="130"/>
      <c r="C337" s="130"/>
      <c r="D337" s="130"/>
      <c r="E337" s="131"/>
      <c r="F337" s="131"/>
      <c r="G337" s="130"/>
      <c r="H337" s="130"/>
      <c r="I337" s="130"/>
      <c r="J337" s="130"/>
      <c r="K337" s="43"/>
      <c r="L337" s="43"/>
    </row>
    <row r="338" spans="1:12">
      <c r="A338" s="130"/>
      <c r="B338" s="130"/>
      <c r="C338" s="130"/>
      <c r="D338" s="130"/>
      <c r="E338" s="131"/>
      <c r="F338" s="131"/>
      <c r="G338" s="130"/>
      <c r="H338" s="130"/>
      <c r="I338" s="130"/>
      <c r="J338" s="130"/>
      <c r="K338" s="43"/>
      <c r="L338" s="43"/>
    </row>
    <row r="339" spans="1:12">
      <c r="A339" s="130"/>
      <c r="B339" s="130"/>
      <c r="C339" s="130"/>
      <c r="D339" s="130"/>
      <c r="E339" s="131"/>
      <c r="F339" s="131"/>
      <c r="G339" s="130"/>
      <c r="H339" s="130"/>
      <c r="I339" s="130"/>
      <c r="J339" s="130"/>
      <c r="K339" s="43"/>
      <c r="L339" s="43"/>
    </row>
    <row r="340" spans="1:12">
      <c r="A340" s="130"/>
      <c r="B340" s="130"/>
      <c r="C340" s="130"/>
      <c r="D340" s="130"/>
      <c r="E340" s="131"/>
      <c r="F340" s="131"/>
      <c r="G340" s="130"/>
      <c r="H340" s="130"/>
      <c r="I340" s="130"/>
      <c r="J340" s="130"/>
      <c r="K340" s="43"/>
      <c r="L340" s="43"/>
    </row>
    <row r="341" spans="1:12">
      <c r="A341" s="130"/>
      <c r="B341" s="130"/>
      <c r="C341" s="130"/>
      <c r="D341" s="130"/>
      <c r="E341" s="131"/>
      <c r="F341" s="131"/>
      <c r="G341" s="130"/>
      <c r="H341" s="130"/>
      <c r="I341" s="130"/>
      <c r="J341" s="130"/>
      <c r="K341" s="43"/>
      <c r="L341" s="43"/>
    </row>
    <row r="342" spans="1:12">
      <c r="A342" s="130"/>
      <c r="B342" s="130"/>
      <c r="C342" s="130"/>
      <c r="D342" s="130"/>
      <c r="E342" s="131"/>
      <c r="F342" s="131"/>
      <c r="G342" s="130"/>
      <c r="H342" s="130"/>
      <c r="I342" s="130"/>
      <c r="J342" s="130"/>
      <c r="K342" s="43"/>
      <c r="L342" s="43"/>
    </row>
    <row r="343" spans="1:12">
      <c r="A343" s="130"/>
      <c r="B343" s="130"/>
      <c r="C343" s="130"/>
      <c r="D343" s="130"/>
      <c r="E343" s="131"/>
      <c r="F343" s="131"/>
      <c r="G343" s="130"/>
      <c r="H343" s="130"/>
      <c r="I343" s="130"/>
      <c r="J343" s="130"/>
      <c r="K343" s="43"/>
      <c r="L343" s="43"/>
    </row>
    <row r="344" spans="1:12">
      <c r="A344" s="130"/>
      <c r="B344" s="130"/>
      <c r="C344" s="130"/>
      <c r="D344" s="130"/>
      <c r="E344" s="131"/>
      <c r="F344" s="131"/>
      <c r="G344" s="130"/>
      <c r="H344" s="130"/>
      <c r="I344" s="130"/>
      <c r="J344" s="130"/>
      <c r="K344" s="43"/>
      <c r="L344" s="43"/>
    </row>
    <row r="345" spans="1:12">
      <c r="A345" s="130"/>
      <c r="B345" s="130"/>
      <c r="C345" s="130"/>
      <c r="D345" s="130"/>
      <c r="E345" s="131"/>
      <c r="F345" s="131"/>
      <c r="G345" s="130"/>
      <c r="H345" s="130"/>
      <c r="I345" s="130"/>
      <c r="J345" s="130"/>
      <c r="K345" s="43"/>
      <c r="L345" s="43"/>
    </row>
    <row r="346" spans="1:12">
      <c r="A346" s="130"/>
      <c r="B346" s="130"/>
      <c r="C346" s="130"/>
      <c r="D346" s="130"/>
      <c r="E346" s="131"/>
      <c r="F346" s="131"/>
      <c r="G346" s="130"/>
      <c r="H346" s="130"/>
      <c r="I346" s="130"/>
      <c r="J346" s="130"/>
      <c r="K346" s="43"/>
      <c r="L346" s="43"/>
    </row>
    <row r="347" spans="1:12">
      <c r="A347" s="130"/>
      <c r="B347" s="130"/>
      <c r="C347" s="130"/>
      <c r="D347" s="130"/>
      <c r="E347" s="131"/>
      <c r="F347" s="131"/>
      <c r="G347" s="130"/>
      <c r="H347" s="130"/>
      <c r="I347" s="130"/>
      <c r="J347" s="130"/>
      <c r="K347" s="43"/>
      <c r="L347" s="43"/>
    </row>
    <row r="348" spans="1:12">
      <c r="A348" s="130"/>
      <c r="B348" s="130"/>
      <c r="C348" s="130"/>
      <c r="D348" s="130"/>
      <c r="E348" s="131"/>
      <c r="F348" s="131"/>
      <c r="G348" s="130"/>
      <c r="H348" s="130"/>
      <c r="I348" s="130"/>
      <c r="J348" s="130"/>
      <c r="K348" s="43"/>
      <c r="L348" s="43"/>
    </row>
    <row r="349" spans="1:12">
      <c r="A349" s="130"/>
      <c r="B349" s="130"/>
      <c r="C349" s="130"/>
      <c r="D349" s="130"/>
      <c r="E349" s="131"/>
      <c r="F349" s="131"/>
      <c r="G349" s="130"/>
      <c r="H349" s="130"/>
      <c r="I349" s="130"/>
      <c r="J349" s="130"/>
      <c r="K349" s="43"/>
      <c r="L349" s="43"/>
    </row>
    <row r="350" spans="1:12">
      <c r="A350" s="130"/>
      <c r="B350" s="130"/>
      <c r="C350" s="130"/>
      <c r="D350" s="130"/>
      <c r="E350" s="131"/>
      <c r="F350" s="131"/>
      <c r="G350" s="130"/>
      <c r="H350" s="130"/>
      <c r="I350" s="130"/>
      <c r="J350" s="130"/>
      <c r="K350" s="43"/>
      <c r="L350" s="43"/>
    </row>
    <row r="351" spans="1:12">
      <c r="A351" s="130"/>
      <c r="B351" s="130"/>
      <c r="C351" s="130"/>
      <c r="D351" s="130"/>
      <c r="E351" s="131"/>
      <c r="F351" s="131"/>
      <c r="G351" s="130"/>
      <c r="H351" s="130"/>
      <c r="I351" s="130"/>
      <c r="J351" s="130"/>
      <c r="K351" s="43"/>
      <c r="L351" s="43"/>
    </row>
    <row r="352" spans="1:12">
      <c r="A352" s="130"/>
      <c r="B352" s="130"/>
      <c r="C352" s="130"/>
      <c r="D352" s="130"/>
      <c r="E352" s="131"/>
      <c r="F352" s="131"/>
      <c r="G352" s="130"/>
      <c r="H352" s="130"/>
      <c r="I352" s="130"/>
      <c r="J352" s="130"/>
      <c r="K352" s="43"/>
      <c r="L352" s="43"/>
    </row>
    <row r="353" spans="1:12">
      <c r="A353" s="130"/>
      <c r="B353" s="130"/>
      <c r="C353" s="130"/>
      <c r="D353" s="130"/>
      <c r="E353" s="131"/>
      <c r="F353" s="131"/>
      <c r="G353" s="130"/>
      <c r="H353" s="130"/>
      <c r="I353" s="130"/>
      <c r="J353" s="130"/>
      <c r="K353" s="43"/>
      <c r="L353" s="43"/>
    </row>
    <row r="354" spans="1:12">
      <c r="A354" s="130"/>
      <c r="B354" s="130"/>
      <c r="C354" s="130"/>
      <c r="D354" s="130"/>
      <c r="E354" s="131"/>
      <c r="F354" s="131"/>
      <c r="G354" s="130"/>
      <c r="H354" s="130"/>
      <c r="I354" s="130"/>
      <c r="J354" s="130"/>
      <c r="K354" s="43"/>
      <c r="L354" s="43"/>
    </row>
    <row r="355" spans="1:12">
      <c r="A355" s="130"/>
      <c r="B355" s="130"/>
      <c r="C355" s="130"/>
      <c r="D355" s="130"/>
      <c r="E355" s="131"/>
      <c r="F355" s="131"/>
      <c r="G355" s="130"/>
      <c r="H355" s="130"/>
      <c r="I355" s="130"/>
      <c r="J355" s="130"/>
      <c r="K355" s="43"/>
      <c r="L355" s="43"/>
    </row>
    <row r="356" spans="1:12">
      <c r="A356" s="130"/>
      <c r="B356" s="130"/>
      <c r="C356" s="130"/>
      <c r="D356" s="130"/>
      <c r="E356" s="131"/>
      <c r="F356" s="131"/>
      <c r="G356" s="130"/>
      <c r="H356" s="130"/>
      <c r="I356" s="130"/>
      <c r="J356" s="130"/>
      <c r="K356" s="43"/>
      <c r="L356" s="43"/>
    </row>
    <row r="357" spans="1:12">
      <c r="A357" s="130"/>
      <c r="B357" s="130"/>
      <c r="C357" s="130"/>
      <c r="D357" s="130"/>
      <c r="E357" s="131"/>
      <c r="F357" s="131"/>
      <c r="G357" s="130"/>
      <c r="H357" s="130"/>
      <c r="I357" s="130"/>
      <c r="J357" s="130"/>
      <c r="K357" s="43"/>
      <c r="L357" s="43"/>
    </row>
    <row r="358" spans="1:12">
      <c r="A358" s="130"/>
      <c r="B358" s="130"/>
      <c r="C358" s="130"/>
      <c r="D358" s="130"/>
      <c r="E358" s="131"/>
      <c r="F358" s="131"/>
      <c r="G358" s="130"/>
      <c r="H358" s="130"/>
      <c r="I358" s="130"/>
      <c r="J358" s="130"/>
      <c r="K358" s="43"/>
      <c r="L358" s="43"/>
    </row>
    <row r="359" spans="1:12">
      <c r="A359" s="130"/>
      <c r="B359" s="130"/>
      <c r="C359" s="130"/>
      <c r="D359" s="130"/>
      <c r="E359" s="131"/>
      <c r="F359" s="131"/>
      <c r="G359" s="130"/>
      <c r="H359" s="130"/>
      <c r="I359" s="130"/>
      <c r="J359" s="130"/>
      <c r="K359" s="43"/>
      <c r="L359" s="43"/>
    </row>
    <row r="360" spans="1:12">
      <c r="A360" s="130"/>
      <c r="B360" s="130"/>
      <c r="C360" s="130"/>
      <c r="D360" s="130"/>
      <c r="E360" s="131"/>
      <c r="F360" s="131"/>
      <c r="G360" s="130"/>
      <c r="H360" s="130"/>
      <c r="I360" s="130"/>
      <c r="J360" s="130"/>
      <c r="K360" s="43"/>
      <c r="L360" s="43"/>
    </row>
    <row r="361" spans="1:12">
      <c r="A361" s="130"/>
      <c r="B361" s="130"/>
      <c r="C361" s="130"/>
      <c r="D361" s="130"/>
      <c r="E361" s="131"/>
      <c r="F361" s="131"/>
      <c r="G361" s="130"/>
      <c r="H361" s="130"/>
      <c r="I361" s="130"/>
      <c r="J361" s="130"/>
      <c r="K361" s="43"/>
      <c r="L361" s="43"/>
    </row>
    <row r="362" spans="1:12">
      <c r="A362" s="130"/>
      <c r="B362" s="130"/>
      <c r="C362" s="130"/>
      <c r="D362" s="130"/>
      <c r="E362" s="131"/>
      <c r="F362" s="131"/>
      <c r="G362" s="130"/>
      <c r="H362" s="130"/>
      <c r="I362" s="130"/>
      <c r="J362" s="130"/>
      <c r="K362" s="43"/>
      <c r="L362" s="43"/>
    </row>
    <row r="363" spans="1:12">
      <c r="A363" s="130"/>
      <c r="B363" s="130"/>
      <c r="C363" s="130"/>
      <c r="D363" s="130"/>
      <c r="E363" s="131"/>
      <c r="F363" s="131"/>
      <c r="G363" s="130"/>
      <c r="H363" s="130"/>
      <c r="I363" s="130"/>
      <c r="J363" s="130"/>
      <c r="K363" s="43"/>
      <c r="L363" s="43"/>
    </row>
    <row r="364" spans="1:12">
      <c r="A364" s="130"/>
      <c r="B364" s="130"/>
      <c r="C364" s="130"/>
      <c r="D364" s="130"/>
      <c r="E364" s="131"/>
      <c r="F364" s="131"/>
      <c r="G364" s="130"/>
      <c r="H364" s="130"/>
      <c r="I364" s="130"/>
      <c r="J364" s="130"/>
      <c r="K364" s="43"/>
      <c r="L364" s="43"/>
    </row>
    <row r="365" spans="1:12">
      <c r="A365" s="130"/>
      <c r="B365" s="130"/>
      <c r="C365" s="130"/>
      <c r="D365" s="130"/>
      <c r="E365" s="131"/>
      <c r="F365" s="131"/>
      <c r="G365" s="130"/>
      <c r="H365" s="130"/>
      <c r="I365" s="130"/>
      <c r="J365" s="130"/>
      <c r="K365" s="43"/>
      <c r="L365" s="43"/>
    </row>
    <row r="366" spans="1:12">
      <c r="A366" s="130"/>
      <c r="B366" s="130"/>
      <c r="C366" s="130"/>
      <c r="D366" s="130"/>
      <c r="E366" s="131"/>
      <c r="F366" s="131"/>
      <c r="G366" s="130"/>
      <c r="H366" s="130"/>
      <c r="I366" s="130"/>
      <c r="J366" s="130"/>
      <c r="K366" s="43"/>
      <c r="L366" s="43"/>
    </row>
    <row r="367" spans="1:12">
      <c r="A367" s="130"/>
      <c r="B367" s="130"/>
      <c r="C367" s="130"/>
      <c r="D367" s="130"/>
      <c r="E367" s="131"/>
      <c r="F367" s="131"/>
      <c r="G367" s="130"/>
      <c r="H367" s="130"/>
      <c r="I367" s="130"/>
      <c r="J367" s="130"/>
      <c r="K367" s="43"/>
      <c r="L367" s="43"/>
    </row>
    <row r="368" spans="1:12">
      <c r="A368" s="130"/>
      <c r="B368" s="130"/>
      <c r="C368" s="130"/>
      <c r="D368" s="130"/>
      <c r="E368" s="131"/>
      <c r="F368" s="131"/>
      <c r="G368" s="130"/>
      <c r="H368" s="130"/>
      <c r="I368" s="130"/>
      <c r="J368" s="130"/>
      <c r="K368" s="43"/>
      <c r="L368" s="43"/>
    </row>
    <row r="369" spans="1:12">
      <c r="A369" s="130"/>
      <c r="B369" s="130"/>
      <c r="C369" s="130"/>
      <c r="D369" s="130"/>
      <c r="E369" s="131"/>
      <c r="F369" s="131"/>
      <c r="G369" s="130"/>
      <c r="H369" s="130"/>
      <c r="I369" s="130"/>
      <c r="J369" s="130"/>
      <c r="K369" s="43"/>
      <c r="L369" s="43"/>
    </row>
    <row r="370" spans="1:12">
      <c r="A370" s="130"/>
      <c r="B370" s="130"/>
      <c r="C370" s="130"/>
      <c r="D370" s="130"/>
      <c r="E370" s="131"/>
      <c r="F370" s="131"/>
      <c r="G370" s="130"/>
      <c r="H370" s="130"/>
      <c r="I370" s="130"/>
      <c r="J370" s="130"/>
      <c r="K370" s="43"/>
      <c r="L370" s="43"/>
    </row>
    <row r="371" spans="1:12">
      <c r="A371" s="130"/>
      <c r="B371" s="130"/>
      <c r="C371" s="130"/>
      <c r="D371" s="130"/>
      <c r="E371" s="131"/>
      <c r="F371" s="131"/>
      <c r="G371" s="130"/>
      <c r="H371" s="130"/>
      <c r="I371" s="130"/>
      <c r="J371" s="130"/>
      <c r="K371" s="43"/>
      <c r="L371" s="43"/>
    </row>
    <row r="372" spans="1:12">
      <c r="A372" s="130"/>
      <c r="B372" s="130"/>
      <c r="C372" s="130"/>
      <c r="D372" s="130"/>
      <c r="E372" s="131"/>
      <c r="F372" s="131"/>
      <c r="G372" s="130"/>
      <c r="H372" s="130"/>
      <c r="I372" s="130"/>
      <c r="J372" s="130"/>
      <c r="K372" s="43"/>
      <c r="L372" s="43"/>
    </row>
    <row r="373" spans="1:12">
      <c r="A373" s="130"/>
      <c r="B373" s="130"/>
      <c r="C373" s="130"/>
      <c r="D373" s="130"/>
      <c r="E373" s="131"/>
      <c r="F373" s="131"/>
      <c r="G373" s="130"/>
      <c r="H373" s="130"/>
      <c r="I373" s="130"/>
      <c r="J373" s="130"/>
      <c r="K373" s="43"/>
      <c r="L373" s="43"/>
    </row>
    <row r="374" spans="1:12">
      <c r="A374" s="130"/>
      <c r="B374" s="130"/>
      <c r="C374" s="130"/>
      <c r="D374" s="130"/>
      <c r="E374" s="131"/>
      <c r="F374" s="131"/>
      <c r="G374" s="130"/>
      <c r="H374" s="130"/>
      <c r="I374" s="130"/>
      <c r="J374" s="130"/>
      <c r="K374" s="43"/>
      <c r="L374" s="43"/>
    </row>
    <row r="375" spans="1:12">
      <c r="A375" s="130"/>
      <c r="B375" s="130"/>
      <c r="C375" s="130"/>
      <c r="D375" s="130"/>
      <c r="E375" s="131"/>
      <c r="F375" s="131"/>
      <c r="G375" s="130"/>
      <c r="H375" s="130"/>
      <c r="I375" s="130"/>
      <c r="J375" s="130"/>
      <c r="K375" s="43"/>
      <c r="L375" s="43"/>
    </row>
    <row r="376" spans="1:12">
      <c r="A376" s="130"/>
      <c r="B376" s="130"/>
      <c r="C376" s="130"/>
      <c r="D376" s="130"/>
      <c r="E376" s="131"/>
      <c r="F376" s="131"/>
      <c r="G376" s="130"/>
      <c r="H376" s="130"/>
      <c r="I376" s="130"/>
      <c r="J376" s="130"/>
      <c r="K376" s="43"/>
      <c r="L376" s="43"/>
    </row>
    <row r="377" spans="1:12">
      <c r="A377" s="130"/>
      <c r="B377" s="130"/>
      <c r="C377" s="130"/>
      <c r="D377" s="130"/>
      <c r="E377" s="131"/>
      <c r="F377" s="131"/>
      <c r="G377" s="130"/>
      <c r="H377" s="130"/>
      <c r="I377" s="130"/>
      <c r="J377" s="130"/>
      <c r="K377" s="43"/>
      <c r="L377" s="43"/>
    </row>
    <row r="378" spans="1:12">
      <c r="A378" s="130"/>
      <c r="B378" s="130"/>
      <c r="C378" s="130"/>
      <c r="D378" s="130"/>
      <c r="E378" s="131"/>
      <c r="F378" s="131"/>
      <c r="G378" s="130"/>
      <c r="H378" s="130"/>
      <c r="I378" s="130"/>
      <c r="J378" s="130"/>
      <c r="K378" s="43"/>
      <c r="L378" s="43"/>
    </row>
    <row r="379" spans="1:12">
      <c r="A379" s="130"/>
      <c r="B379" s="130"/>
      <c r="C379" s="130"/>
      <c r="D379" s="130"/>
      <c r="E379" s="131"/>
      <c r="F379" s="131"/>
      <c r="G379" s="130"/>
      <c r="H379" s="130"/>
      <c r="I379" s="130"/>
      <c r="J379" s="130"/>
      <c r="K379" s="43"/>
      <c r="L379" s="43"/>
    </row>
    <row r="380" spans="1:12">
      <c r="A380" s="130"/>
      <c r="B380" s="130"/>
      <c r="C380" s="130"/>
      <c r="D380" s="130"/>
      <c r="E380" s="131"/>
      <c r="F380" s="131"/>
      <c r="G380" s="130"/>
      <c r="H380" s="130"/>
      <c r="I380" s="130"/>
      <c r="J380" s="130"/>
      <c r="K380" s="43"/>
      <c r="L380" s="43"/>
    </row>
    <row r="381" spans="1:12">
      <c r="A381" s="130"/>
      <c r="B381" s="130"/>
      <c r="C381" s="130"/>
      <c r="D381" s="130"/>
      <c r="E381" s="131"/>
      <c r="F381" s="131"/>
      <c r="G381" s="130"/>
      <c r="H381" s="130"/>
      <c r="I381" s="130"/>
      <c r="J381" s="130"/>
      <c r="K381" s="43"/>
      <c r="L381" s="43"/>
    </row>
    <row r="382" spans="1:12">
      <c r="A382" s="130"/>
      <c r="B382" s="130"/>
      <c r="C382" s="130"/>
      <c r="D382" s="130"/>
      <c r="E382" s="131"/>
      <c r="F382" s="131"/>
      <c r="G382" s="130"/>
      <c r="H382" s="130"/>
      <c r="I382" s="130"/>
      <c r="J382" s="130"/>
      <c r="K382" s="43"/>
      <c r="L382" s="43"/>
    </row>
    <row r="383" spans="1:12">
      <c r="A383" s="130"/>
      <c r="B383" s="130"/>
      <c r="C383" s="130"/>
      <c r="D383" s="130"/>
      <c r="E383" s="131"/>
      <c r="F383" s="131"/>
      <c r="G383" s="130"/>
      <c r="H383" s="130"/>
      <c r="I383" s="130"/>
      <c r="J383" s="130"/>
      <c r="K383" s="43"/>
      <c r="L383" s="43"/>
    </row>
    <row r="384" spans="1:12">
      <c r="A384" s="130"/>
      <c r="B384" s="130"/>
      <c r="C384" s="130"/>
      <c r="D384" s="130"/>
      <c r="E384" s="131"/>
      <c r="F384" s="131"/>
      <c r="G384" s="130"/>
      <c r="H384" s="130"/>
      <c r="I384" s="130"/>
      <c r="J384" s="130"/>
      <c r="K384" s="43"/>
      <c r="L384" s="43"/>
    </row>
    <row r="385" spans="1:12">
      <c r="A385" s="130"/>
      <c r="B385" s="130"/>
      <c r="C385" s="130"/>
      <c r="D385" s="130"/>
      <c r="E385" s="131"/>
      <c r="F385" s="131"/>
      <c r="G385" s="130"/>
      <c r="H385" s="130"/>
      <c r="I385" s="130"/>
      <c r="J385" s="130"/>
      <c r="K385" s="43"/>
      <c r="L385" s="43"/>
    </row>
    <row r="386" spans="1:12">
      <c r="A386" s="130"/>
      <c r="B386" s="130"/>
      <c r="C386" s="130"/>
      <c r="D386" s="130"/>
      <c r="E386" s="131"/>
      <c r="F386" s="131"/>
      <c r="G386" s="130"/>
      <c r="H386" s="130"/>
      <c r="I386" s="130"/>
      <c r="J386" s="130"/>
      <c r="K386" s="43"/>
      <c r="L386" s="43"/>
    </row>
    <row r="387" spans="1:12">
      <c r="A387" s="130"/>
      <c r="B387" s="130"/>
      <c r="C387" s="130"/>
      <c r="D387" s="130"/>
      <c r="E387" s="131"/>
      <c r="F387" s="131"/>
      <c r="G387" s="130"/>
      <c r="H387" s="130"/>
      <c r="I387" s="130"/>
      <c r="J387" s="130"/>
      <c r="K387" s="43"/>
      <c r="L387" s="43"/>
    </row>
    <row r="388" spans="1:12">
      <c r="A388" s="130"/>
      <c r="B388" s="130"/>
      <c r="C388" s="130"/>
      <c r="D388" s="130"/>
      <c r="E388" s="131"/>
      <c r="F388" s="131"/>
      <c r="G388" s="130"/>
      <c r="H388" s="130"/>
      <c r="I388" s="130"/>
      <c r="J388" s="130"/>
      <c r="K388" s="43"/>
      <c r="L388" s="43"/>
    </row>
    <row r="389" spans="1:12">
      <c r="A389" s="130"/>
      <c r="B389" s="130"/>
      <c r="C389" s="130"/>
      <c r="D389" s="130"/>
      <c r="E389" s="131"/>
      <c r="F389" s="131"/>
      <c r="G389" s="130"/>
      <c r="H389" s="130"/>
      <c r="I389" s="130"/>
      <c r="J389" s="130"/>
      <c r="K389" s="43"/>
      <c r="L389" s="43"/>
    </row>
    <row r="390" spans="1:12">
      <c r="A390" s="130"/>
      <c r="B390" s="130"/>
      <c r="C390" s="130"/>
      <c r="D390" s="130"/>
      <c r="E390" s="131"/>
      <c r="F390" s="131"/>
      <c r="G390" s="130"/>
      <c r="H390" s="130"/>
      <c r="I390" s="130"/>
      <c r="J390" s="130"/>
      <c r="K390" s="43"/>
      <c r="L390" s="43"/>
    </row>
    <row r="391" spans="1:12">
      <c r="A391" s="130"/>
      <c r="B391" s="130"/>
      <c r="C391" s="130"/>
      <c r="D391" s="130"/>
      <c r="E391" s="131"/>
      <c r="F391" s="131"/>
      <c r="G391" s="130"/>
      <c r="H391" s="130"/>
      <c r="I391" s="130"/>
      <c r="J391" s="130"/>
      <c r="K391" s="43"/>
      <c r="L391" s="43"/>
    </row>
    <row r="392" spans="1:12">
      <c r="A392" s="130"/>
      <c r="B392" s="130"/>
      <c r="C392" s="130"/>
      <c r="D392" s="130"/>
      <c r="E392" s="131"/>
      <c r="F392" s="131"/>
      <c r="G392" s="130"/>
      <c r="H392" s="130"/>
      <c r="I392" s="130"/>
      <c r="J392" s="130"/>
      <c r="K392" s="43"/>
      <c r="L392" s="43"/>
    </row>
    <row r="393" spans="1:12">
      <c r="A393" s="130"/>
      <c r="B393" s="130"/>
      <c r="C393" s="130"/>
      <c r="D393" s="130"/>
      <c r="E393" s="131"/>
      <c r="F393" s="131"/>
      <c r="G393" s="130"/>
      <c r="H393" s="130"/>
      <c r="I393" s="130"/>
      <c r="J393" s="130"/>
      <c r="K393" s="43"/>
      <c r="L393" s="43"/>
    </row>
    <row r="394" spans="1:12">
      <c r="A394" s="130"/>
      <c r="B394" s="130"/>
      <c r="C394" s="130"/>
      <c r="D394" s="130"/>
      <c r="E394" s="131"/>
      <c r="F394" s="131"/>
      <c r="G394" s="130"/>
      <c r="H394" s="130"/>
      <c r="I394" s="130"/>
      <c r="J394" s="130"/>
      <c r="K394" s="43"/>
      <c r="L394" s="43"/>
    </row>
    <row r="395" spans="1:12">
      <c r="A395" s="130"/>
      <c r="B395" s="130"/>
      <c r="C395" s="130"/>
      <c r="D395" s="130"/>
      <c r="E395" s="131"/>
      <c r="F395" s="131"/>
      <c r="G395" s="130"/>
      <c r="H395" s="130"/>
      <c r="I395" s="130"/>
      <c r="J395" s="130"/>
      <c r="K395" s="43"/>
      <c r="L395" s="43"/>
    </row>
    <row r="396" spans="1:12">
      <c r="A396" s="130"/>
      <c r="B396" s="130"/>
      <c r="C396" s="130"/>
      <c r="D396" s="130"/>
      <c r="E396" s="131"/>
      <c r="F396" s="131"/>
      <c r="G396" s="130"/>
      <c r="H396" s="130"/>
      <c r="I396" s="130"/>
      <c r="J396" s="130"/>
      <c r="K396" s="43"/>
      <c r="L396" s="43"/>
    </row>
    <row r="397" spans="1:12">
      <c r="A397" s="130"/>
      <c r="B397" s="130"/>
      <c r="C397" s="130"/>
      <c r="D397" s="130"/>
      <c r="E397" s="131"/>
      <c r="F397" s="131"/>
      <c r="G397" s="130"/>
      <c r="H397" s="130"/>
      <c r="I397" s="130"/>
      <c r="J397" s="130"/>
      <c r="K397" s="43"/>
      <c r="L397" s="43"/>
    </row>
    <row r="398" spans="1:12">
      <c r="A398" s="130"/>
      <c r="B398" s="130"/>
      <c r="C398" s="130"/>
      <c r="D398" s="130"/>
      <c r="E398" s="131"/>
      <c r="F398" s="131"/>
      <c r="G398" s="130"/>
      <c r="H398" s="130"/>
      <c r="I398" s="130"/>
      <c r="J398" s="130"/>
      <c r="K398" s="43"/>
      <c r="L398" s="43"/>
    </row>
    <row r="399" spans="1:12">
      <c r="A399" s="130"/>
      <c r="B399" s="130"/>
      <c r="C399" s="130"/>
      <c r="D399" s="130"/>
      <c r="E399" s="131"/>
      <c r="F399" s="131"/>
      <c r="G399" s="130"/>
      <c r="H399" s="130"/>
      <c r="I399" s="130"/>
      <c r="J399" s="130"/>
      <c r="K399" s="43"/>
      <c r="L399" s="43"/>
    </row>
    <row r="400" spans="1:12">
      <c r="A400" s="130"/>
      <c r="B400" s="130"/>
      <c r="C400" s="130"/>
      <c r="D400" s="130"/>
      <c r="E400" s="131"/>
      <c r="F400" s="131"/>
      <c r="G400" s="130"/>
      <c r="H400" s="130"/>
      <c r="I400" s="130"/>
      <c r="J400" s="130"/>
      <c r="K400" s="43"/>
      <c r="L400" s="43"/>
    </row>
    <row r="401" spans="1:12">
      <c r="A401" s="130"/>
      <c r="B401" s="130"/>
      <c r="C401" s="130"/>
      <c r="D401" s="130"/>
      <c r="E401" s="131"/>
      <c r="F401" s="131"/>
      <c r="G401" s="130"/>
      <c r="H401" s="130"/>
      <c r="I401" s="130"/>
      <c r="J401" s="130"/>
      <c r="K401" s="43"/>
      <c r="L401" s="43"/>
    </row>
    <row r="402" spans="1:12">
      <c r="A402" s="130"/>
      <c r="B402" s="130"/>
      <c r="C402" s="130"/>
      <c r="D402" s="130"/>
      <c r="E402" s="131"/>
      <c r="F402" s="131"/>
      <c r="G402" s="130"/>
      <c r="H402" s="130"/>
      <c r="I402" s="130"/>
      <c r="J402" s="130"/>
      <c r="K402" s="43"/>
      <c r="L402" s="43"/>
    </row>
    <row r="403" spans="1:12">
      <c r="A403" s="130"/>
      <c r="B403" s="130"/>
      <c r="C403" s="130"/>
      <c r="D403" s="130"/>
      <c r="E403" s="131"/>
      <c r="F403" s="131"/>
      <c r="G403" s="130"/>
      <c r="H403" s="130"/>
      <c r="I403" s="130"/>
      <c r="J403" s="130"/>
      <c r="K403" s="43"/>
      <c r="L403" s="43"/>
    </row>
    <row r="404" spans="1:12">
      <c r="A404" s="130"/>
      <c r="B404" s="130"/>
      <c r="C404" s="130"/>
      <c r="D404" s="130"/>
      <c r="E404" s="131"/>
      <c r="F404" s="131"/>
      <c r="G404" s="130"/>
      <c r="H404" s="130"/>
      <c r="I404" s="130"/>
      <c r="J404" s="130"/>
      <c r="K404" s="43"/>
      <c r="L404" s="43"/>
    </row>
    <row r="405" spans="1:12">
      <c r="A405" s="130"/>
      <c r="B405" s="130"/>
      <c r="C405" s="130"/>
      <c r="D405" s="130"/>
      <c r="E405" s="131"/>
      <c r="F405" s="131"/>
      <c r="G405" s="130"/>
      <c r="H405" s="130"/>
      <c r="I405" s="130"/>
      <c r="J405" s="130"/>
      <c r="K405" s="43"/>
      <c r="L405" s="43"/>
    </row>
    <row r="406" spans="1:12">
      <c r="A406" s="130"/>
      <c r="B406" s="130"/>
      <c r="C406" s="130"/>
      <c r="D406" s="130"/>
      <c r="E406" s="131"/>
      <c r="F406" s="131"/>
      <c r="G406" s="130"/>
      <c r="H406" s="130"/>
      <c r="I406" s="130"/>
      <c r="J406" s="130"/>
      <c r="K406" s="43"/>
      <c r="L406" s="43"/>
    </row>
    <row r="407" spans="1:12">
      <c r="A407" s="130"/>
      <c r="B407" s="130"/>
      <c r="C407" s="130"/>
      <c r="D407" s="130"/>
      <c r="E407" s="131"/>
      <c r="F407" s="131"/>
      <c r="G407" s="130"/>
      <c r="H407" s="130"/>
      <c r="I407" s="130"/>
      <c r="J407" s="130"/>
      <c r="K407" s="43"/>
      <c r="L407" s="43"/>
    </row>
    <row r="408" spans="1:12">
      <c r="A408" s="130"/>
      <c r="B408" s="130"/>
      <c r="C408" s="130"/>
      <c r="D408" s="130"/>
      <c r="E408" s="131"/>
      <c r="F408" s="131"/>
      <c r="G408" s="130"/>
      <c r="H408" s="130"/>
      <c r="I408" s="130"/>
      <c r="J408" s="130"/>
      <c r="K408" s="43"/>
      <c r="L408" s="43"/>
    </row>
    <row r="409" spans="1:12">
      <c r="A409" s="130"/>
      <c r="B409" s="130"/>
      <c r="C409" s="130"/>
      <c r="D409" s="130"/>
      <c r="E409" s="131"/>
      <c r="F409" s="131"/>
      <c r="G409" s="130"/>
      <c r="H409" s="130"/>
      <c r="I409" s="130"/>
      <c r="J409" s="130"/>
      <c r="K409" s="43"/>
      <c r="L409" s="43"/>
    </row>
    <row r="410" spans="1:12">
      <c r="A410" s="130"/>
      <c r="B410" s="130"/>
      <c r="C410" s="130"/>
      <c r="D410" s="130"/>
      <c r="E410" s="131"/>
      <c r="F410" s="131"/>
      <c r="G410" s="130"/>
      <c r="H410" s="130"/>
      <c r="I410" s="130"/>
      <c r="J410" s="130"/>
      <c r="K410" s="43"/>
      <c r="L410" s="43"/>
    </row>
    <row r="411" spans="1:12">
      <c r="A411" s="130"/>
      <c r="B411" s="130"/>
      <c r="C411" s="130"/>
      <c r="D411" s="130"/>
      <c r="E411" s="131"/>
      <c r="F411" s="131"/>
      <c r="G411" s="130"/>
      <c r="H411" s="130"/>
      <c r="I411" s="130"/>
      <c r="J411" s="130"/>
      <c r="K411" s="43"/>
      <c r="L411" s="43"/>
    </row>
    <row r="412" spans="1:12">
      <c r="A412" s="130"/>
      <c r="B412" s="130"/>
      <c r="C412" s="130"/>
      <c r="D412" s="130"/>
      <c r="E412" s="131"/>
      <c r="F412" s="131"/>
      <c r="G412" s="130"/>
      <c r="H412" s="130"/>
      <c r="I412" s="130"/>
      <c r="J412" s="130"/>
      <c r="K412" s="43"/>
      <c r="L412" s="43"/>
    </row>
    <row r="413" spans="1:12">
      <c r="A413" s="130"/>
      <c r="B413" s="130"/>
      <c r="C413" s="130"/>
      <c r="D413" s="130"/>
      <c r="E413" s="131"/>
      <c r="F413" s="131"/>
      <c r="G413" s="130"/>
      <c r="H413" s="130"/>
      <c r="I413" s="130"/>
      <c r="J413" s="130"/>
      <c r="K413" s="43"/>
      <c r="L413" s="43"/>
    </row>
    <row r="414" spans="1:12">
      <c r="A414" s="130"/>
      <c r="B414" s="130"/>
      <c r="C414" s="130"/>
      <c r="D414" s="130"/>
      <c r="E414" s="131"/>
      <c r="F414" s="131"/>
      <c r="G414" s="130"/>
      <c r="H414" s="130"/>
      <c r="I414" s="130"/>
      <c r="J414" s="130"/>
      <c r="K414" s="43"/>
      <c r="L414" s="43"/>
    </row>
    <row r="415" spans="1:12">
      <c r="A415" s="130"/>
      <c r="B415" s="130"/>
      <c r="C415" s="130"/>
      <c r="D415" s="130"/>
      <c r="E415" s="131"/>
      <c r="F415" s="131"/>
      <c r="G415" s="130"/>
      <c r="H415" s="130"/>
      <c r="I415" s="130"/>
      <c r="J415" s="130"/>
      <c r="K415" s="43"/>
      <c r="L415" s="43"/>
    </row>
    <row r="416" spans="1:12">
      <c r="A416" s="130"/>
      <c r="B416" s="130"/>
      <c r="C416" s="130"/>
      <c r="D416" s="130"/>
      <c r="E416" s="131"/>
      <c r="F416" s="131"/>
      <c r="G416" s="130"/>
      <c r="H416" s="130"/>
      <c r="I416" s="130"/>
      <c r="J416" s="130"/>
      <c r="K416" s="43"/>
      <c r="L416" s="43"/>
    </row>
    <row r="417" spans="1:12">
      <c r="A417" s="130"/>
      <c r="B417" s="130"/>
      <c r="C417" s="130"/>
      <c r="D417" s="130"/>
      <c r="E417" s="131"/>
      <c r="F417" s="131"/>
      <c r="G417" s="130"/>
      <c r="H417" s="130"/>
      <c r="I417" s="130"/>
      <c r="J417" s="130"/>
      <c r="K417" s="43"/>
      <c r="L417" s="43"/>
    </row>
    <row r="418" spans="1:12">
      <c r="A418" s="130"/>
      <c r="B418" s="130"/>
      <c r="C418" s="130"/>
      <c r="D418" s="130"/>
      <c r="E418" s="131"/>
      <c r="F418" s="131"/>
      <c r="G418" s="130"/>
      <c r="H418" s="130"/>
      <c r="I418" s="130"/>
      <c r="J418" s="130"/>
      <c r="K418" s="43"/>
      <c r="L418" s="43"/>
    </row>
    <row r="419" spans="1:12">
      <c r="A419" s="130"/>
      <c r="B419" s="130"/>
      <c r="C419" s="130"/>
      <c r="D419" s="130"/>
      <c r="E419" s="131"/>
      <c r="F419" s="131"/>
      <c r="G419" s="130"/>
      <c r="H419" s="130"/>
      <c r="I419" s="130"/>
      <c r="J419" s="130"/>
      <c r="K419" s="43"/>
      <c r="L419" s="43"/>
    </row>
    <row r="420" spans="1:12">
      <c r="A420" s="130"/>
      <c r="B420" s="130"/>
      <c r="C420" s="130"/>
      <c r="D420" s="130"/>
      <c r="E420" s="131"/>
      <c r="F420" s="131"/>
      <c r="G420" s="130"/>
      <c r="H420" s="130"/>
      <c r="I420" s="130"/>
      <c r="J420" s="130"/>
      <c r="K420" s="43"/>
      <c r="L420" s="43"/>
    </row>
    <row r="421" spans="1:12">
      <c r="A421" s="130"/>
      <c r="B421" s="130"/>
      <c r="C421" s="130"/>
      <c r="D421" s="130"/>
      <c r="E421" s="131"/>
      <c r="F421" s="131"/>
      <c r="G421" s="130"/>
      <c r="H421" s="130"/>
      <c r="I421" s="130"/>
      <c r="J421" s="130"/>
      <c r="K421" s="43"/>
      <c r="L421" s="43"/>
    </row>
    <row r="422" spans="1:12">
      <c r="A422" s="130"/>
      <c r="B422" s="130"/>
      <c r="C422" s="130"/>
      <c r="D422" s="130"/>
      <c r="E422" s="131"/>
      <c r="F422" s="131"/>
      <c r="G422" s="130"/>
      <c r="H422" s="130"/>
      <c r="I422" s="130"/>
      <c r="J422" s="130"/>
      <c r="K422" s="43"/>
      <c r="L422" s="43"/>
    </row>
    <row r="423" spans="1:12">
      <c r="A423" s="130"/>
      <c r="B423" s="130"/>
      <c r="C423" s="130"/>
      <c r="D423" s="130"/>
      <c r="E423" s="131"/>
      <c r="F423" s="131"/>
      <c r="G423" s="130"/>
      <c r="H423" s="130"/>
      <c r="I423" s="130"/>
      <c r="J423" s="130"/>
      <c r="K423" s="43"/>
      <c r="L423" s="43"/>
    </row>
    <row r="424" spans="1:12">
      <c r="A424" s="130"/>
      <c r="B424" s="130"/>
      <c r="C424" s="130"/>
      <c r="D424" s="130"/>
      <c r="E424" s="131"/>
      <c r="F424" s="131"/>
      <c r="G424" s="130"/>
      <c r="H424" s="130"/>
      <c r="I424" s="130"/>
      <c r="J424" s="130"/>
      <c r="K424" s="43"/>
      <c r="L424" s="43"/>
    </row>
    <row r="425" spans="1:12">
      <c r="A425" s="130"/>
      <c r="B425" s="130"/>
      <c r="C425" s="130"/>
      <c r="D425" s="130"/>
      <c r="E425" s="131"/>
      <c r="F425" s="131"/>
      <c r="G425" s="130"/>
      <c r="H425" s="130"/>
      <c r="I425" s="130"/>
      <c r="J425" s="130"/>
      <c r="K425" s="43"/>
      <c r="L425" s="43"/>
    </row>
    <row r="426" spans="1:12">
      <c r="A426" s="130"/>
      <c r="B426" s="130"/>
      <c r="C426" s="130"/>
      <c r="D426" s="130"/>
      <c r="E426" s="131"/>
      <c r="F426" s="131"/>
      <c r="G426" s="130"/>
      <c r="H426" s="130"/>
      <c r="I426" s="130"/>
      <c r="J426" s="130"/>
      <c r="K426" s="43"/>
      <c r="L426" s="43"/>
    </row>
    <row r="427" spans="1:12">
      <c r="A427" s="130"/>
      <c r="B427" s="130"/>
      <c r="C427" s="130"/>
      <c r="D427" s="130"/>
      <c r="E427" s="131"/>
      <c r="F427" s="131"/>
      <c r="G427" s="130"/>
      <c r="H427" s="130"/>
      <c r="I427" s="130"/>
      <c r="J427" s="130"/>
      <c r="K427" s="43"/>
      <c r="L427" s="43"/>
    </row>
    <row r="428" spans="1:12">
      <c r="A428" s="130"/>
      <c r="B428" s="130"/>
      <c r="C428" s="130"/>
      <c r="D428" s="130"/>
      <c r="E428" s="131"/>
      <c r="F428" s="131"/>
      <c r="G428" s="130"/>
      <c r="H428" s="130"/>
      <c r="I428" s="130"/>
      <c r="J428" s="130"/>
      <c r="K428" s="43"/>
      <c r="L428" s="43"/>
    </row>
    <row r="429" spans="1:12">
      <c r="A429" s="130"/>
      <c r="B429" s="130"/>
      <c r="C429" s="130"/>
      <c r="D429" s="130"/>
      <c r="E429" s="131"/>
      <c r="F429" s="131"/>
      <c r="G429" s="130"/>
      <c r="H429" s="130"/>
      <c r="I429" s="130"/>
      <c r="J429" s="130"/>
      <c r="K429" s="43"/>
      <c r="L429" s="43"/>
    </row>
    <row r="430" spans="1:12">
      <c r="A430" s="130"/>
      <c r="B430" s="130"/>
      <c r="C430" s="130"/>
      <c r="D430" s="130"/>
      <c r="E430" s="131"/>
      <c r="F430" s="131"/>
      <c r="G430" s="130"/>
      <c r="H430" s="130"/>
      <c r="I430" s="130"/>
      <c r="J430" s="130"/>
      <c r="K430" s="43"/>
      <c r="L430" s="43"/>
    </row>
    <row r="431" spans="1:12">
      <c r="A431" s="130"/>
      <c r="B431" s="130"/>
      <c r="C431" s="130"/>
      <c r="D431" s="130"/>
      <c r="E431" s="131"/>
      <c r="F431" s="131"/>
      <c r="G431" s="130"/>
      <c r="H431" s="130"/>
      <c r="I431" s="130"/>
      <c r="J431" s="130"/>
      <c r="K431" s="43"/>
      <c r="L431" s="43"/>
    </row>
    <row r="432" spans="1:12">
      <c r="A432" s="130"/>
      <c r="B432" s="130"/>
      <c r="C432" s="130"/>
      <c r="D432" s="130"/>
      <c r="E432" s="131"/>
      <c r="F432" s="131"/>
      <c r="G432" s="130"/>
      <c r="H432" s="130"/>
      <c r="I432" s="130"/>
      <c r="J432" s="130"/>
      <c r="K432" s="43"/>
      <c r="L432" s="43"/>
    </row>
    <row r="433" spans="1:12">
      <c r="A433" s="130"/>
      <c r="B433" s="130"/>
      <c r="C433" s="130"/>
      <c r="D433" s="130"/>
      <c r="E433" s="131"/>
      <c r="F433" s="131"/>
      <c r="G433" s="130"/>
      <c r="H433" s="130"/>
      <c r="I433" s="130"/>
      <c r="J433" s="130"/>
      <c r="K433" s="43"/>
      <c r="L433" s="43"/>
    </row>
    <row r="434" spans="1:12">
      <c r="A434" s="130"/>
      <c r="B434" s="130"/>
      <c r="C434" s="130"/>
      <c r="D434" s="130"/>
      <c r="E434" s="131"/>
      <c r="F434" s="131"/>
      <c r="G434" s="130"/>
      <c r="H434" s="130"/>
      <c r="I434" s="130"/>
      <c r="J434" s="130"/>
      <c r="K434" s="43"/>
      <c r="L434" s="43"/>
    </row>
    <row r="435" spans="1:12">
      <c r="A435" s="130"/>
      <c r="B435" s="130"/>
      <c r="C435" s="130"/>
      <c r="D435" s="130"/>
      <c r="E435" s="131"/>
      <c r="F435" s="131"/>
      <c r="G435" s="130"/>
      <c r="H435" s="130"/>
      <c r="I435" s="130"/>
      <c r="J435" s="130"/>
      <c r="K435" s="43"/>
      <c r="L435" s="43"/>
    </row>
    <row r="436" spans="1:12">
      <c r="A436" s="130"/>
      <c r="B436" s="130"/>
      <c r="C436" s="130"/>
      <c r="D436" s="130"/>
      <c r="E436" s="131"/>
      <c r="F436" s="131"/>
      <c r="G436" s="130"/>
      <c r="H436" s="130"/>
      <c r="I436" s="130"/>
      <c r="J436" s="130"/>
      <c r="K436" s="43"/>
      <c r="L436" s="43"/>
    </row>
    <row r="437" spans="1:12">
      <c r="A437" s="130"/>
      <c r="B437" s="130"/>
      <c r="C437" s="130"/>
      <c r="D437" s="130"/>
      <c r="E437" s="131"/>
      <c r="F437" s="131"/>
      <c r="G437" s="130"/>
      <c r="H437" s="130"/>
      <c r="I437" s="130"/>
      <c r="J437" s="130"/>
      <c r="K437" s="43"/>
      <c r="L437" s="43"/>
    </row>
    <row r="438" spans="1:12">
      <c r="A438" s="130"/>
      <c r="B438" s="130"/>
      <c r="C438" s="130"/>
      <c r="D438" s="130"/>
      <c r="E438" s="131"/>
      <c r="F438" s="131"/>
      <c r="G438" s="130"/>
      <c r="H438" s="130"/>
      <c r="I438" s="130"/>
      <c r="J438" s="130"/>
      <c r="K438" s="43"/>
      <c r="L438" s="43"/>
    </row>
    <row r="439" spans="1:12">
      <c r="A439" s="130"/>
      <c r="B439" s="130"/>
      <c r="C439" s="130"/>
      <c r="D439" s="130"/>
      <c r="E439" s="131"/>
      <c r="F439" s="131"/>
      <c r="G439" s="130"/>
      <c r="H439" s="130"/>
      <c r="I439" s="130"/>
      <c r="J439" s="130"/>
      <c r="K439" s="43"/>
      <c r="L439" s="43"/>
    </row>
    <row r="440" spans="1:12">
      <c r="A440" s="130"/>
      <c r="B440" s="130"/>
      <c r="C440" s="130"/>
      <c r="D440" s="130"/>
      <c r="E440" s="131"/>
      <c r="F440" s="131"/>
      <c r="G440" s="130"/>
      <c r="H440" s="130"/>
      <c r="I440" s="130"/>
      <c r="J440" s="130"/>
      <c r="K440" s="43"/>
      <c r="L440" s="43"/>
    </row>
    <row r="441" spans="1:12">
      <c r="A441" s="130"/>
      <c r="B441" s="130"/>
      <c r="C441" s="130"/>
      <c r="D441" s="130"/>
      <c r="E441" s="131"/>
      <c r="F441" s="131"/>
      <c r="G441" s="130"/>
      <c r="H441" s="130"/>
      <c r="I441" s="130"/>
      <c r="J441" s="130"/>
      <c r="K441" s="43"/>
      <c r="L441" s="43"/>
    </row>
    <row r="442" spans="1:12">
      <c r="A442" s="130"/>
      <c r="B442" s="130"/>
      <c r="C442" s="130"/>
      <c r="D442" s="130"/>
      <c r="E442" s="131"/>
      <c r="F442" s="131"/>
      <c r="G442" s="130"/>
      <c r="H442" s="130"/>
      <c r="I442" s="130"/>
      <c r="J442" s="130"/>
      <c r="K442" s="43"/>
      <c r="L442" s="43"/>
    </row>
    <row r="443" spans="1:12">
      <c r="A443" s="130"/>
      <c r="B443" s="130"/>
      <c r="C443" s="130"/>
      <c r="D443" s="130"/>
      <c r="E443" s="131"/>
      <c r="F443" s="131"/>
      <c r="G443" s="130"/>
      <c r="H443" s="130"/>
      <c r="I443" s="130"/>
      <c r="J443" s="130"/>
      <c r="K443" s="43"/>
      <c r="L443" s="43"/>
    </row>
    <row r="444" spans="1:12">
      <c r="A444" s="130"/>
      <c r="B444" s="130"/>
      <c r="C444" s="130"/>
      <c r="D444" s="130"/>
      <c r="E444" s="131"/>
      <c r="F444" s="131"/>
      <c r="G444" s="130"/>
      <c r="H444" s="130"/>
      <c r="I444" s="130"/>
      <c r="J444" s="130"/>
      <c r="K444" s="43"/>
      <c r="L444" s="43"/>
    </row>
    <row r="445" spans="1:12">
      <c r="A445" s="130"/>
      <c r="B445" s="130"/>
      <c r="C445" s="130"/>
      <c r="D445" s="130"/>
      <c r="E445" s="131"/>
      <c r="F445" s="131"/>
      <c r="G445" s="130"/>
      <c r="H445" s="130"/>
      <c r="I445" s="130"/>
      <c r="J445" s="130"/>
      <c r="K445" s="43"/>
      <c r="L445" s="43"/>
    </row>
    <row r="446" spans="1:12">
      <c r="A446" s="130"/>
      <c r="B446" s="130"/>
      <c r="C446" s="130"/>
      <c r="D446" s="130"/>
      <c r="E446" s="131"/>
      <c r="F446" s="131"/>
      <c r="G446" s="130"/>
      <c r="H446" s="130"/>
      <c r="I446" s="130"/>
      <c r="J446" s="130"/>
      <c r="K446" s="43"/>
      <c r="L446" s="43"/>
    </row>
    <row r="447" spans="1:12">
      <c r="A447" s="130"/>
      <c r="B447" s="130"/>
      <c r="C447" s="130"/>
      <c r="D447" s="130"/>
      <c r="E447" s="131"/>
      <c r="F447" s="131"/>
      <c r="G447" s="130"/>
      <c r="H447" s="130"/>
      <c r="I447" s="130"/>
      <c r="J447" s="130"/>
      <c r="K447" s="43"/>
      <c r="L447" s="43"/>
    </row>
    <row r="448" spans="1:12">
      <c r="A448" s="130"/>
      <c r="B448" s="130"/>
      <c r="C448" s="130"/>
      <c r="D448" s="130"/>
      <c r="E448" s="131"/>
      <c r="F448" s="131"/>
      <c r="G448" s="130"/>
      <c r="H448" s="130"/>
      <c r="I448" s="130"/>
      <c r="J448" s="130"/>
      <c r="K448" s="43"/>
      <c r="L448" s="43"/>
    </row>
    <row r="449" spans="1:12">
      <c r="A449" s="130"/>
      <c r="B449" s="130"/>
      <c r="C449" s="130"/>
      <c r="D449" s="130"/>
      <c r="E449" s="131"/>
      <c r="F449" s="131"/>
      <c r="G449" s="130"/>
      <c r="H449" s="130"/>
      <c r="I449" s="130"/>
      <c r="J449" s="130"/>
      <c r="K449" s="43"/>
      <c r="L449" s="43"/>
    </row>
    <row r="450" spans="1:12">
      <c r="A450" s="130"/>
      <c r="B450" s="130"/>
      <c r="C450" s="130"/>
      <c r="D450" s="130"/>
      <c r="E450" s="131"/>
      <c r="F450" s="131"/>
      <c r="G450" s="130"/>
      <c r="H450" s="130"/>
      <c r="I450" s="130"/>
      <c r="J450" s="130"/>
      <c r="K450" s="43"/>
      <c r="L450" s="43"/>
    </row>
    <row r="451" spans="1:12">
      <c r="A451" s="130"/>
      <c r="B451" s="130"/>
      <c r="C451" s="130"/>
      <c r="D451" s="130"/>
      <c r="E451" s="131"/>
      <c r="F451" s="131"/>
      <c r="G451" s="130"/>
      <c r="H451" s="130"/>
      <c r="I451" s="130"/>
      <c r="J451" s="130"/>
      <c r="K451" s="43"/>
      <c r="L451" s="43"/>
    </row>
    <row r="452" spans="1:12">
      <c r="A452" s="130"/>
      <c r="B452" s="130"/>
      <c r="C452" s="130"/>
      <c r="D452" s="130"/>
      <c r="E452" s="131"/>
      <c r="F452" s="131"/>
      <c r="G452" s="130"/>
      <c r="H452" s="130"/>
      <c r="I452" s="130"/>
      <c r="J452" s="130"/>
      <c r="K452" s="43"/>
      <c r="L452" s="43"/>
    </row>
    <row r="453" spans="1:12">
      <c r="A453" s="130"/>
      <c r="B453" s="130"/>
      <c r="C453" s="130"/>
      <c r="D453" s="130"/>
      <c r="E453" s="131"/>
      <c r="F453" s="131"/>
      <c r="G453" s="130"/>
      <c r="H453" s="130"/>
      <c r="I453" s="130"/>
      <c r="J453" s="130"/>
      <c r="K453" s="43"/>
      <c r="L453" s="43"/>
    </row>
    <row r="454" spans="1:12">
      <c r="A454" s="130"/>
      <c r="B454" s="130"/>
      <c r="C454" s="130"/>
      <c r="D454" s="130"/>
      <c r="E454" s="131"/>
      <c r="F454" s="131"/>
      <c r="G454" s="130"/>
      <c r="H454" s="130"/>
      <c r="I454" s="130"/>
      <c r="J454" s="130"/>
      <c r="K454" s="43"/>
      <c r="L454" s="43"/>
    </row>
    <row r="455" spans="1:12">
      <c r="A455" s="130"/>
      <c r="B455" s="130"/>
      <c r="C455" s="130"/>
      <c r="D455" s="130"/>
      <c r="E455" s="131"/>
      <c r="F455" s="131"/>
      <c r="G455" s="130"/>
      <c r="H455" s="130"/>
      <c r="I455" s="130"/>
      <c r="J455" s="130"/>
      <c r="K455" s="43"/>
      <c r="L455" s="43"/>
    </row>
    <row r="456" spans="1:12">
      <c r="A456" s="130"/>
      <c r="B456" s="130"/>
      <c r="C456" s="130"/>
      <c r="D456" s="130"/>
      <c r="E456" s="131"/>
      <c r="F456" s="131"/>
      <c r="G456" s="130"/>
      <c r="H456" s="130"/>
      <c r="I456" s="130"/>
      <c r="J456" s="130"/>
      <c r="K456" s="43"/>
      <c r="L456" s="43"/>
    </row>
    <row r="457" spans="1:12">
      <c r="A457" s="130"/>
      <c r="B457" s="130"/>
      <c r="C457" s="130"/>
      <c r="D457" s="130"/>
      <c r="E457" s="131"/>
      <c r="F457" s="131"/>
      <c r="G457" s="130"/>
      <c r="H457" s="130"/>
      <c r="I457" s="130"/>
      <c r="J457" s="130"/>
      <c r="K457" s="43"/>
      <c r="L457" s="43"/>
    </row>
    <row r="458" spans="1:12">
      <c r="A458" s="130"/>
      <c r="B458" s="130"/>
      <c r="C458" s="130"/>
      <c r="D458" s="130"/>
      <c r="E458" s="131"/>
      <c r="F458" s="131"/>
      <c r="G458" s="130"/>
      <c r="H458" s="130"/>
      <c r="I458" s="130"/>
      <c r="J458" s="130"/>
      <c r="K458" s="43"/>
      <c r="L458" s="43"/>
    </row>
    <row r="459" spans="1:12">
      <c r="A459" s="130"/>
      <c r="B459" s="130"/>
      <c r="C459" s="130"/>
      <c r="D459" s="130"/>
      <c r="E459" s="131"/>
      <c r="F459" s="131"/>
      <c r="G459" s="130"/>
      <c r="H459" s="130"/>
      <c r="I459" s="130"/>
      <c r="J459" s="130"/>
      <c r="K459" s="43"/>
      <c r="L459" s="43"/>
    </row>
    <row r="460" spans="1:12">
      <c r="A460" s="130"/>
      <c r="B460" s="130"/>
      <c r="C460" s="130"/>
      <c r="D460" s="130"/>
      <c r="E460" s="131"/>
      <c r="F460" s="131"/>
      <c r="G460" s="130"/>
      <c r="H460" s="130"/>
      <c r="I460" s="130"/>
      <c r="J460" s="130"/>
      <c r="K460" s="43"/>
      <c r="L460" s="43"/>
    </row>
    <row r="461" spans="1:12">
      <c r="A461" s="130"/>
      <c r="B461" s="130"/>
      <c r="C461" s="130"/>
      <c r="D461" s="130"/>
      <c r="E461" s="131"/>
      <c r="F461" s="131"/>
      <c r="G461" s="130"/>
      <c r="H461" s="130"/>
      <c r="I461" s="130"/>
      <c r="J461" s="130"/>
      <c r="K461" s="43"/>
      <c r="L461" s="43"/>
    </row>
    <row r="462" spans="1:12">
      <c r="A462" s="130"/>
      <c r="B462" s="130"/>
      <c r="C462" s="130"/>
      <c r="D462" s="130"/>
      <c r="E462" s="131"/>
      <c r="F462" s="131"/>
      <c r="G462" s="130"/>
      <c r="H462" s="130"/>
      <c r="I462" s="130"/>
      <c r="J462" s="130"/>
      <c r="K462" s="43"/>
      <c r="L462" s="43"/>
    </row>
    <row r="463" spans="1:12">
      <c r="A463" s="130"/>
      <c r="B463" s="130"/>
      <c r="C463" s="130"/>
      <c r="D463" s="130"/>
      <c r="E463" s="131"/>
      <c r="F463" s="131"/>
      <c r="G463" s="130"/>
      <c r="H463" s="130"/>
      <c r="I463" s="130"/>
      <c r="J463" s="130"/>
      <c r="K463" s="43"/>
      <c r="L463" s="43"/>
    </row>
    <row r="464" spans="1:12">
      <c r="A464" s="130"/>
      <c r="B464" s="130"/>
      <c r="C464" s="130"/>
      <c r="D464" s="130"/>
      <c r="E464" s="131"/>
      <c r="F464" s="131"/>
      <c r="G464" s="130"/>
      <c r="H464" s="130"/>
      <c r="I464" s="130"/>
      <c r="J464" s="130"/>
      <c r="K464" s="43"/>
      <c r="L464" s="43"/>
    </row>
    <row r="465" spans="1:12">
      <c r="A465" s="130"/>
      <c r="B465" s="130"/>
      <c r="C465" s="130"/>
      <c r="D465" s="130"/>
      <c r="E465" s="131"/>
      <c r="F465" s="131"/>
      <c r="G465" s="130"/>
      <c r="H465" s="130"/>
      <c r="I465" s="130"/>
      <c r="J465" s="130"/>
      <c r="K465" s="43"/>
      <c r="L465" s="43"/>
    </row>
    <row r="466" spans="1:12">
      <c r="A466" s="130"/>
      <c r="B466" s="130"/>
      <c r="C466" s="130"/>
      <c r="D466" s="130"/>
      <c r="E466" s="131"/>
      <c r="F466" s="131"/>
      <c r="G466" s="130"/>
      <c r="H466" s="130"/>
      <c r="I466" s="130"/>
      <c r="J466" s="130"/>
      <c r="K466" s="43"/>
      <c r="L466" s="43"/>
    </row>
    <row r="467" spans="1:12">
      <c r="A467" s="130"/>
      <c r="B467" s="130"/>
      <c r="C467" s="130"/>
      <c r="D467" s="130"/>
      <c r="E467" s="131"/>
      <c r="F467" s="131"/>
      <c r="G467" s="130"/>
      <c r="H467" s="130"/>
      <c r="I467" s="130"/>
      <c r="J467" s="130"/>
      <c r="K467" s="43"/>
      <c r="L467" s="43"/>
    </row>
    <row r="468" spans="1:12">
      <c r="A468" s="130"/>
      <c r="B468" s="130"/>
      <c r="C468" s="130"/>
      <c r="D468" s="130"/>
      <c r="E468" s="131"/>
      <c r="F468" s="131"/>
      <c r="G468" s="130"/>
      <c r="H468" s="130"/>
      <c r="I468" s="130"/>
      <c r="J468" s="130"/>
      <c r="K468" s="43"/>
      <c r="L468" s="43"/>
    </row>
    <row r="469" spans="1:12">
      <c r="A469" s="130"/>
      <c r="B469" s="130"/>
      <c r="C469" s="130"/>
      <c r="D469" s="130"/>
      <c r="E469" s="131"/>
      <c r="F469" s="131"/>
      <c r="G469" s="130"/>
      <c r="H469" s="130"/>
      <c r="I469" s="130"/>
      <c r="J469" s="130"/>
      <c r="K469" s="43"/>
      <c r="L469" s="43"/>
    </row>
    <row r="470" spans="1:12">
      <c r="A470" s="130"/>
      <c r="B470" s="130"/>
      <c r="C470" s="130"/>
      <c r="D470" s="130"/>
      <c r="E470" s="131"/>
      <c r="F470" s="131"/>
      <c r="G470" s="130"/>
      <c r="H470" s="130"/>
      <c r="I470" s="130"/>
      <c r="J470" s="130"/>
      <c r="K470" s="43"/>
      <c r="L470" s="43"/>
    </row>
    <row r="471" spans="1:12">
      <c r="A471" s="130"/>
      <c r="B471" s="130"/>
      <c r="C471" s="130"/>
      <c r="D471" s="130"/>
      <c r="E471" s="131"/>
      <c r="F471" s="131"/>
      <c r="G471" s="130"/>
      <c r="H471" s="130"/>
      <c r="I471" s="130"/>
      <c r="J471" s="130"/>
      <c r="K471" s="43"/>
      <c r="L471" s="43"/>
    </row>
    <row r="472" spans="1:12">
      <c r="A472" s="130"/>
      <c r="B472" s="130"/>
      <c r="C472" s="130"/>
      <c r="D472" s="130"/>
      <c r="E472" s="131"/>
      <c r="F472" s="131"/>
      <c r="G472" s="130"/>
      <c r="H472" s="130"/>
      <c r="I472" s="130"/>
      <c r="J472" s="130"/>
      <c r="K472" s="43"/>
      <c r="L472" s="43"/>
    </row>
    <row r="473" spans="1:12">
      <c r="A473" s="130"/>
      <c r="B473" s="130"/>
      <c r="C473" s="130"/>
      <c r="D473" s="130"/>
      <c r="E473" s="131"/>
      <c r="F473" s="131"/>
      <c r="G473" s="130"/>
      <c r="H473" s="130"/>
      <c r="I473" s="130"/>
      <c r="J473" s="130"/>
      <c r="K473" s="43"/>
      <c r="L473" s="43"/>
    </row>
    <row r="474" spans="1:12">
      <c r="A474" s="130"/>
      <c r="B474" s="130"/>
      <c r="C474" s="130"/>
      <c r="D474" s="130"/>
      <c r="E474" s="131"/>
      <c r="F474" s="131"/>
      <c r="G474" s="130"/>
      <c r="H474" s="130"/>
      <c r="I474" s="130"/>
      <c r="J474" s="130"/>
      <c r="K474" s="43"/>
      <c r="L474" s="43"/>
    </row>
    <row r="475" spans="1:12">
      <c r="A475" s="130"/>
      <c r="B475" s="130"/>
      <c r="C475" s="130"/>
      <c r="D475" s="130"/>
      <c r="E475" s="131"/>
      <c r="F475" s="131"/>
      <c r="G475" s="130"/>
      <c r="H475" s="130"/>
      <c r="I475" s="130"/>
      <c r="J475" s="130"/>
      <c r="K475" s="43"/>
      <c r="L475" s="43"/>
    </row>
    <row r="476" spans="1:12">
      <c r="A476" s="130"/>
      <c r="B476" s="130"/>
      <c r="C476" s="130"/>
      <c r="D476" s="130"/>
      <c r="E476" s="131"/>
      <c r="F476" s="131"/>
      <c r="G476" s="130"/>
      <c r="H476" s="130"/>
      <c r="I476" s="130"/>
      <c r="J476" s="130"/>
      <c r="K476" s="43"/>
      <c r="L476" s="43"/>
    </row>
    <row r="477" spans="1:12">
      <c r="A477" s="130"/>
      <c r="B477" s="130"/>
      <c r="C477" s="130"/>
      <c r="D477" s="130"/>
      <c r="E477" s="131"/>
      <c r="F477" s="131"/>
      <c r="G477" s="130"/>
      <c r="H477" s="130"/>
      <c r="I477" s="130"/>
      <c r="J477" s="130"/>
      <c r="K477" s="43"/>
      <c r="L477" s="43"/>
    </row>
    <row r="478" spans="1:12">
      <c r="A478" s="130"/>
      <c r="B478" s="130"/>
      <c r="C478" s="130"/>
      <c r="D478" s="130"/>
      <c r="E478" s="131"/>
      <c r="F478" s="131"/>
      <c r="G478" s="130"/>
      <c r="H478" s="130"/>
      <c r="I478" s="130"/>
      <c r="J478" s="130"/>
      <c r="K478" s="43"/>
      <c r="L478" s="43"/>
    </row>
    <row r="479" spans="1:12">
      <c r="A479" s="130"/>
      <c r="B479" s="130"/>
      <c r="C479" s="130"/>
      <c r="D479" s="130"/>
      <c r="E479" s="131"/>
      <c r="F479" s="131"/>
      <c r="G479" s="130"/>
      <c r="H479" s="130"/>
      <c r="I479" s="130"/>
      <c r="J479" s="130"/>
      <c r="K479" s="43"/>
      <c r="L479" s="43"/>
    </row>
    <row r="480" spans="1:12">
      <c r="A480" s="130"/>
      <c r="B480" s="130"/>
      <c r="C480" s="130"/>
      <c r="D480" s="130"/>
      <c r="E480" s="131"/>
      <c r="F480" s="131"/>
      <c r="G480" s="130"/>
      <c r="H480" s="130"/>
      <c r="I480" s="130"/>
      <c r="J480" s="130"/>
      <c r="K480" s="43"/>
      <c r="L480" s="43"/>
    </row>
    <row r="481" spans="1:12">
      <c r="A481" s="130"/>
      <c r="B481" s="130"/>
      <c r="C481" s="130"/>
      <c r="D481" s="130"/>
      <c r="E481" s="131"/>
      <c r="F481" s="131"/>
      <c r="G481" s="130"/>
      <c r="H481" s="130"/>
      <c r="I481" s="130"/>
      <c r="J481" s="130"/>
      <c r="K481" s="43"/>
      <c r="L481" s="43"/>
    </row>
    <row r="482" spans="1:12">
      <c r="A482" s="130"/>
      <c r="B482" s="130"/>
      <c r="C482" s="130"/>
      <c r="D482" s="130"/>
      <c r="E482" s="131"/>
      <c r="F482" s="131"/>
      <c r="G482" s="130"/>
      <c r="H482" s="130"/>
      <c r="I482" s="130"/>
      <c r="J482" s="130"/>
      <c r="K482" s="43"/>
      <c r="L482" s="43"/>
    </row>
    <row r="483" spans="1:12">
      <c r="A483" s="130"/>
      <c r="B483" s="130"/>
      <c r="C483" s="130"/>
      <c r="D483" s="130"/>
      <c r="E483" s="131"/>
      <c r="F483" s="131"/>
      <c r="G483" s="130"/>
      <c r="H483" s="130"/>
      <c r="I483" s="130"/>
      <c r="J483" s="130"/>
      <c r="K483" s="43"/>
      <c r="L483" s="43"/>
    </row>
    <row r="484" spans="1:12">
      <c r="A484" s="130"/>
      <c r="B484" s="130"/>
      <c r="C484" s="130"/>
      <c r="D484" s="130"/>
      <c r="E484" s="131"/>
      <c r="F484" s="131"/>
      <c r="G484" s="130"/>
      <c r="H484" s="130"/>
      <c r="I484" s="130"/>
      <c r="J484" s="130"/>
      <c r="K484" s="43"/>
      <c r="L484" s="43"/>
    </row>
    <row r="485" spans="1:12">
      <c r="A485" s="130"/>
      <c r="B485" s="130"/>
      <c r="C485" s="130"/>
      <c r="D485" s="130"/>
      <c r="E485" s="131"/>
      <c r="F485" s="131"/>
      <c r="G485" s="130"/>
      <c r="H485" s="130"/>
      <c r="I485" s="130"/>
      <c r="J485" s="130"/>
      <c r="K485" s="43"/>
      <c r="L485" s="43"/>
    </row>
    <row r="486" spans="1:12">
      <c r="A486" s="130"/>
      <c r="B486" s="130"/>
      <c r="C486" s="130"/>
      <c r="D486" s="130"/>
      <c r="E486" s="131"/>
      <c r="F486" s="131"/>
      <c r="G486" s="130"/>
      <c r="H486" s="130"/>
      <c r="I486" s="130"/>
      <c r="J486" s="130"/>
      <c r="K486" s="43"/>
      <c r="L486" s="43"/>
    </row>
    <row r="487" spans="1:12">
      <c r="A487" s="130"/>
      <c r="B487" s="130"/>
      <c r="C487" s="130"/>
      <c r="D487" s="130"/>
      <c r="E487" s="131"/>
      <c r="F487" s="131"/>
      <c r="G487" s="130"/>
      <c r="H487" s="130"/>
      <c r="I487" s="130"/>
      <c r="J487" s="130"/>
      <c r="K487" s="43"/>
      <c r="L487" s="43"/>
    </row>
    <row r="488" spans="1:12">
      <c r="A488" s="130"/>
      <c r="B488" s="130"/>
      <c r="C488" s="130"/>
      <c r="D488" s="130"/>
      <c r="E488" s="131"/>
      <c r="F488" s="131"/>
      <c r="G488" s="130"/>
      <c r="H488" s="130"/>
      <c r="I488" s="130"/>
      <c r="J488" s="130"/>
      <c r="K488" s="43"/>
      <c r="L488" s="43"/>
    </row>
    <row r="489" spans="1:12">
      <c r="A489" s="130"/>
      <c r="B489" s="130"/>
      <c r="C489" s="130"/>
      <c r="D489" s="130"/>
      <c r="E489" s="131"/>
      <c r="F489" s="131"/>
      <c r="G489" s="130"/>
      <c r="H489" s="130"/>
      <c r="I489" s="130"/>
      <c r="J489" s="130"/>
      <c r="K489" s="43"/>
      <c r="L489" s="43"/>
    </row>
    <row r="490" spans="1:12">
      <c r="A490" s="130"/>
      <c r="B490" s="130"/>
      <c r="C490" s="130"/>
      <c r="D490" s="130"/>
      <c r="E490" s="131"/>
      <c r="F490" s="131"/>
      <c r="G490" s="130"/>
      <c r="H490" s="130"/>
      <c r="I490" s="130"/>
      <c r="J490" s="130"/>
      <c r="K490" s="43"/>
      <c r="L490" s="43"/>
    </row>
    <row r="491" spans="1:12">
      <c r="A491" s="130"/>
      <c r="B491" s="130"/>
      <c r="C491" s="130"/>
      <c r="D491" s="130"/>
      <c r="E491" s="131"/>
      <c r="F491" s="131"/>
      <c r="G491" s="130"/>
      <c r="H491" s="130"/>
      <c r="I491" s="130"/>
      <c r="J491" s="130"/>
      <c r="K491" s="43"/>
      <c r="L491" s="43"/>
    </row>
    <row r="492" spans="1:12">
      <c r="A492" s="130"/>
      <c r="B492" s="130"/>
      <c r="C492" s="130"/>
      <c r="D492" s="130"/>
      <c r="E492" s="131"/>
      <c r="F492" s="131"/>
      <c r="G492" s="130"/>
      <c r="H492" s="130"/>
      <c r="I492" s="130"/>
      <c r="J492" s="130"/>
      <c r="K492" s="43"/>
      <c r="L492" s="43"/>
    </row>
    <row r="493" spans="1:12">
      <c r="A493" s="130"/>
      <c r="B493" s="130"/>
      <c r="C493" s="130"/>
      <c r="D493" s="130"/>
      <c r="E493" s="131"/>
      <c r="F493" s="131"/>
      <c r="G493" s="130"/>
      <c r="H493" s="130"/>
      <c r="I493" s="130"/>
      <c r="J493" s="130"/>
      <c r="K493" s="43"/>
      <c r="L493" s="43"/>
    </row>
    <row r="494" spans="1:12">
      <c r="A494" s="130"/>
      <c r="B494" s="130"/>
      <c r="C494" s="130"/>
      <c r="D494" s="130"/>
      <c r="E494" s="131"/>
      <c r="F494" s="131"/>
      <c r="G494" s="130"/>
      <c r="H494" s="130"/>
      <c r="I494" s="130"/>
      <c r="J494" s="130"/>
      <c r="K494" s="43"/>
      <c r="L494" s="43"/>
    </row>
    <row r="495" spans="1:12">
      <c r="A495" s="130"/>
      <c r="B495" s="130"/>
      <c r="C495" s="130"/>
      <c r="D495" s="130"/>
      <c r="E495" s="131"/>
      <c r="F495" s="131"/>
      <c r="G495" s="130"/>
      <c r="H495" s="130"/>
      <c r="I495" s="130"/>
      <c r="J495" s="130"/>
      <c r="K495" s="43"/>
      <c r="L495" s="43"/>
    </row>
    <row r="496" spans="1:12">
      <c r="A496" s="130"/>
      <c r="B496" s="130"/>
      <c r="C496" s="130"/>
      <c r="D496" s="130"/>
      <c r="E496" s="131"/>
      <c r="F496" s="131"/>
      <c r="G496" s="130"/>
      <c r="H496" s="130"/>
      <c r="I496" s="130"/>
      <c r="J496" s="130"/>
      <c r="K496" s="43"/>
      <c r="L496" s="43"/>
    </row>
    <row r="497" spans="1:12">
      <c r="A497" s="130"/>
      <c r="B497" s="130"/>
      <c r="C497" s="130"/>
      <c r="D497" s="130"/>
      <c r="E497" s="131"/>
      <c r="F497" s="131"/>
      <c r="G497" s="130"/>
      <c r="H497" s="130"/>
      <c r="I497" s="130"/>
      <c r="J497" s="130"/>
      <c r="K497" s="43"/>
      <c r="L497" s="43"/>
    </row>
    <row r="498" spans="1:12">
      <c r="A498" s="130"/>
      <c r="B498" s="130"/>
      <c r="C498" s="130"/>
      <c r="D498" s="130"/>
      <c r="E498" s="131"/>
      <c r="F498" s="131"/>
      <c r="G498" s="130"/>
      <c r="H498" s="130"/>
      <c r="I498" s="130"/>
      <c r="J498" s="130"/>
      <c r="K498" s="43"/>
      <c r="L498" s="43"/>
    </row>
    <row r="499" spans="1:12">
      <c r="A499" s="130"/>
      <c r="B499" s="130"/>
      <c r="C499" s="130"/>
      <c r="D499" s="130"/>
      <c r="E499" s="131"/>
      <c r="F499" s="131"/>
      <c r="G499" s="130"/>
      <c r="H499" s="130"/>
      <c r="I499" s="130"/>
      <c r="J499" s="130"/>
      <c r="K499" s="43"/>
      <c r="L499" s="43"/>
    </row>
    <row r="500" spans="1:12">
      <c r="A500" s="130"/>
      <c r="B500" s="130"/>
      <c r="C500" s="130"/>
      <c r="D500" s="130"/>
      <c r="E500" s="131"/>
      <c r="F500" s="131"/>
      <c r="G500" s="130"/>
      <c r="H500" s="130"/>
      <c r="I500" s="130"/>
      <c r="J500" s="130"/>
      <c r="K500" s="43"/>
      <c r="L500" s="43"/>
    </row>
  </sheetData>
  <conditionalFormatting sqref="A3:J500">
    <cfRule type="expression" dxfId="3" priority="1">
      <formula>MOD(ROW(),2)=0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4" id="{A7424A09-15A0-4ABF-95FF-A2C132426F20}">
            <xm:f>VLOOKUP($I4,'C:\Users\hcox\Downloads\[BMPTrackingTable_02062020.xlsx]Dropdowns'!#REF!,2,FALSE)="no"</xm:f>
            <x14:dxf>
              <font>
                <color theme="6" tint="-0.24994659260841701"/>
              </font>
              <fill>
                <patternFill>
                  <bgColor theme="6"/>
                </patternFill>
              </fill>
            </x14:dxf>
          </x14:cfRule>
          <xm:sqref>J4:L500</xm:sqref>
        </x14:conditionalFormatting>
        <x14:conditionalFormatting xmlns:xm="http://schemas.microsoft.com/office/excel/2006/main">
          <x14:cfRule type="expression" priority="3" id="{C0D9515B-73B3-418C-8328-C62F298271DC}">
            <xm:f>VLOOKUP($I48,'C:\Users\hcox\Downloads\[BMPTrackingTable_02062020.xlsx]Dropdowns'!#REF!,2,FALSE)="no"</xm:f>
            <x14:dxf>
              <font>
                <color theme="6" tint="-0.24994659260841701"/>
              </font>
              <fill>
                <patternFill>
                  <bgColor theme="6"/>
                </patternFill>
              </fill>
            </x14:dxf>
          </x14:cfRule>
          <xm:sqref>J48:L63</xm:sqref>
        </x14:conditionalFormatting>
        <x14:conditionalFormatting xmlns:xm="http://schemas.microsoft.com/office/excel/2006/main">
          <x14:cfRule type="expression" priority="2" id="{200DADCA-0C5D-42A9-8E3E-6FDB4BD111AF}">
            <xm:f>VLOOKUP($I64,'C:\Users\hcox\Downloads\[BMPTrackingTable_02062020.xlsx]Dropdowns'!#REF!,2,FALSE)="no"</xm:f>
            <x14:dxf>
              <font>
                <color theme="6" tint="-0.24994659260841701"/>
              </font>
              <fill>
                <patternFill>
                  <bgColor theme="6"/>
                </patternFill>
              </fill>
            </x14:dxf>
          </x14:cfRule>
          <xm:sqref>J64:L500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B07B91E-6DF3-46EF-BD95-5F13FF481197}">
          <x14:formula1>
            <xm:f>'C:\Users\hcox\Downloads\[BMPTrackingTable_02062020.xlsx]Dropdowns'!#REF!</xm:f>
          </x14:formula1>
          <xm:sqref>D3:D500 H4:H500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A35C-F063-40C8-9631-A61EEDA262B3}">
  <dimension ref="A1:M45"/>
  <sheetViews>
    <sheetView workbookViewId="0">
      <selection activeCell="A37" sqref="A37:XFD37"/>
    </sheetView>
  </sheetViews>
  <sheetFormatPr defaultRowHeight="14.4"/>
  <cols>
    <col min="1" max="1" width="25.88671875" customWidth="1"/>
    <col min="2" max="2" width="15.109375" customWidth="1"/>
    <col min="3" max="3" width="39.33203125" customWidth="1"/>
    <col min="4" max="4" width="10.44140625" customWidth="1"/>
    <col min="5" max="5" width="9.44140625" customWidth="1"/>
  </cols>
  <sheetData>
    <row r="1" spans="1:13" ht="33" customHeight="1">
      <c r="A1" s="4" t="s">
        <v>671</v>
      </c>
      <c r="B1" s="4" t="s">
        <v>672</v>
      </c>
      <c r="C1" s="4"/>
      <c r="D1" s="36">
        <v>0</v>
      </c>
      <c r="E1" s="36">
        <v>0.1</v>
      </c>
      <c r="F1" s="36">
        <v>0.2</v>
      </c>
      <c r="G1" s="36">
        <v>0.4</v>
      </c>
      <c r="H1" s="36">
        <v>0.6</v>
      </c>
      <c r="I1" s="36">
        <v>0.8</v>
      </c>
      <c r="J1" s="36">
        <v>1</v>
      </c>
      <c r="K1" s="36">
        <v>1.5</v>
      </c>
      <c r="L1" s="36">
        <v>2</v>
      </c>
      <c r="M1" t="s">
        <v>673</v>
      </c>
    </row>
    <row r="2" spans="1:13" ht="14.4" customHeight="1">
      <c r="A2" s="4" t="s">
        <v>581</v>
      </c>
      <c r="B2" s="4"/>
      <c r="C2" s="4" t="str">
        <f>CONCATENATE(A2," ",B2)</f>
        <v xml:space="preserve">Extended Dry Detention Pond </v>
      </c>
      <c r="D2" s="31">
        <v>0</v>
      </c>
      <c r="E2" s="31">
        <v>0.03</v>
      </c>
      <c r="F2" s="31">
        <v>0.06</v>
      </c>
      <c r="G2" s="31">
        <v>0.08</v>
      </c>
      <c r="H2" s="31">
        <v>0.09</v>
      </c>
      <c r="I2" s="31">
        <v>0.11</v>
      </c>
      <c r="J2" s="31">
        <v>0.12</v>
      </c>
      <c r="K2" s="31">
        <v>0.13</v>
      </c>
      <c r="L2" s="31">
        <v>0.14000000000000001</v>
      </c>
    </row>
    <row r="3" spans="1:13">
      <c r="A3" s="4" t="s">
        <v>578</v>
      </c>
      <c r="B3" s="4" t="s">
        <v>384</v>
      </c>
      <c r="C3" s="4" t="str">
        <f>CONCATENATE(A3," ",B3)</f>
        <v>Bioretention (infiltrating) 8.27 in/hr</v>
      </c>
      <c r="D3" s="32">
        <v>0</v>
      </c>
      <c r="E3" s="32">
        <v>0.59</v>
      </c>
      <c r="F3" s="33">
        <v>0.81</v>
      </c>
      <c r="G3" s="33">
        <v>0.96</v>
      </c>
      <c r="H3" s="33">
        <v>0.99</v>
      </c>
      <c r="I3" s="33">
        <v>1</v>
      </c>
      <c r="J3" s="33">
        <v>1</v>
      </c>
      <c r="K3" s="33">
        <v>1</v>
      </c>
      <c r="L3" s="33">
        <v>1</v>
      </c>
    </row>
    <row r="4" spans="1:13">
      <c r="A4" s="4" t="s">
        <v>578</v>
      </c>
      <c r="B4" s="4" t="s">
        <v>209</v>
      </c>
      <c r="C4" s="4" t="str">
        <f t="shared" ref="C4:C45" si="0">CONCATENATE(A4," ",B4)</f>
        <v>Bioretention (infiltrating) 2.41 in/hr</v>
      </c>
      <c r="D4" s="33">
        <v>0</v>
      </c>
      <c r="E4" s="33">
        <v>0.46</v>
      </c>
      <c r="F4" s="33">
        <v>0.67</v>
      </c>
      <c r="G4" s="33">
        <v>0.87</v>
      </c>
      <c r="H4" s="33">
        <v>0.94</v>
      </c>
      <c r="I4" s="33">
        <v>0.97</v>
      </c>
      <c r="J4" s="33">
        <v>0.98</v>
      </c>
      <c r="K4" s="33">
        <v>1</v>
      </c>
      <c r="L4" s="33">
        <v>1</v>
      </c>
      <c r="M4" t="s">
        <v>674</v>
      </c>
    </row>
    <row r="5" spans="1:13">
      <c r="A5" s="4" t="s">
        <v>578</v>
      </c>
      <c r="B5" s="4" t="s">
        <v>172</v>
      </c>
      <c r="C5" s="4" t="str">
        <f t="shared" si="0"/>
        <v>Bioretention (infiltrating) 1.02 in/hr</v>
      </c>
      <c r="D5" s="33">
        <v>0</v>
      </c>
      <c r="E5" s="33">
        <v>0.41</v>
      </c>
      <c r="F5" s="33">
        <v>0.6</v>
      </c>
      <c r="G5" s="33">
        <v>0.81</v>
      </c>
      <c r="H5" s="33">
        <v>0.9</v>
      </c>
      <c r="I5" s="33">
        <v>0.94</v>
      </c>
      <c r="J5" s="33">
        <v>0.97</v>
      </c>
      <c r="K5" s="33">
        <v>0.99</v>
      </c>
      <c r="L5" s="33">
        <v>1</v>
      </c>
    </row>
    <row r="6" spans="1:13">
      <c r="A6" s="4" t="s">
        <v>578</v>
      </c>
      <c r="B6" s="4" t="s">
        <v>520</v>
      </c>
      <c r="C6" s="4" t="str">
        <f t="shared" si="0"/>
        <v>Bioretention (infiltrating) 0.52 in/hr</v>
      </c>
      <c r="D6" s="33">
        <v>0</v>
      </c>
      <c r="E6" s="33">
        <v>0.38</v>
      </c>
      <c r="F6" s="33">
        <v>0.56000000000000005</v>
      </c>
      <c r="G6" s="33">
        <v>0.77</v>
      </c>
      <c r="H6" s="33">
        <v>0.87</v>
      </c>
      <c r="I6" s="33">
        <v>0.92</v>
      </c>
      <c r="J6" s="33">
        <v>0.95</v>
      </c>
      <c r="K6" s="33">
        <v>0.98</v>
      </c>
      <c r="L6" s="33">
        <v>0.99</v>
      </c>
    </row>
    <row r="7" spans="1:13">
      <c r="A7" s="4" t="s">
        <v>578</v>
      </c>
      <c r="B7" s="4" t="s">
        <v>675</v>
      </c>
      <c r="C7" s="4" t="str">
        <f t="shared" si="0"/>
        <v>Bioretention (infiltrating) 0.27 in /hr</v>
      </c>
      <c r="D7" s="33">
        <v>0</v>
      </c>
      <c r="E7" s="33">
        <v>0.37</v>
      </c>
      <c r="F7" s="33">
        <v>0.54</v>
      </c>
      <c r="G7" s="33">
        <v>0.74</v>
      </c>
      <c r="H7" s="33">
        <v>0.85</v>
      </c>
      <c r="I7" s="33">
        <v>0.9</v>
      </c>
      <c r="J7" s="33">
        <v>0.93</v>
      </c>
      <c r="K7" s="33">
        <v>0.98</v>
      </c>
      <c r="L7" s="33">
        <v>0.99</v>
      </c>
    </row>
    <row r="8" spans="1:13">
      <c r="A8" s="4" t="s">
        <v>578</v>
      </c>
      <c r="B8" s="4" t="s">
        <v>330</v>
      </c>
      <c r="C8" s="4" t="str">
        <f t="shared" si="0"/>
        <v>Bioretention (infiltrating) 0.17 in/hr</v>
      </c>
      <c r="D8" s="33">
        <v>0</v>
      </c>
      <c r="E8" s="33">
        <v>0.35</v>
      </c>
      <c r="F8" s="33">
        <v>0.52</v>
      </c>
      <c r="G8" s="33">
        <v>0.72</v>
      </c>
      <c r="H8" s="33">
        <v>0.82</v>
      </c>
      <c r="I8" s="33">
        <v>0.88</v>
      </c>
      <c r="J8" s="33">
        <v>0.92</v>
      </c>
      <c r="K8" s="33">
        <v>0.97</v>
      </c>
      <c r="L8" s="33">
        <v>0.99</v>
      </c>
    </row>
    <row r="9" spans="1:13">
      <c r="A9" s="4" t="s">
        <v>574</v>
      </c>
      <c r="B9" s="4"/>
      <c r="C9" s="4" t="str">
        <f t="shared" si="0"/>
        <v xml:space="preserve">Bioretention (w/ underdrain) </v>
      </c>
      <c r="D9" s="34">
        <v>0</v>
      </c>
      <c r="E9" s="34">
        <v>0.14000000000000001</v>
      </c>
      <c r="F9" s="34">
        <v>0.25</v>
      </c>
      <c r="G9" s="34">
        <v>0.37</v>
      </c>
      <c r="H9" s="34">
        <v>0.44</v>
      </c>
      <c r="I9" s="34">
        <v>0.48</v>
      </c>
      <c r="J9" s="34">
        <v>0.53</v>
      </c>
      <c r="K9" s="34">
        <v>0.57999999999999996</v>
      </c>
      <c r="L9" s="34">
        <v>0.63</v>
      </c>
    </row>
    <row r="10" spans="1:13">
      <c r="A10" s="4" t="s">
        <v>616</v>
      </c>
      <c r="B10" s="4" t="s">
        <v>384</v>
      </c>
      <c r="C10" s="4" t="str">
        <f t="shared" si="0"/>
        <v>Dry Swale (infiltrating) 8.27 in/hr</v>
      </c>
      <c r="D10" s="32">
        <v>0</v>
      </c>
      <c r="E10" s="32">
        <v>0.59</v>
      </c>
      <c r="F10" s="33">
        <v>0.81</v>
      </c>
      <c r="G10" s="33">
        <v>0.96</v>
      </c>
      <c r="H10" s="33">
        <v>0.99</v>
      </c>
      <c r="I10" s="33">
        <v>1</v>
      </c>
      <c r="J10" s="33">
        <v>1</v>
      </c>
      <c r="K10" s="33">
        <v>1</v>
      </c>
      <c r="L10" s="33">
        <v>1</v>
      </c>
    </row>
    <row r="11" spans="1:13">
      <c r="A11" s="4" t="s">
        <v>616</v>
      </c>
      <c r="B11" s="4" t="s">
        <v>209</v>
      </c>
      <c r="C11" s="4" t="str">
        <f t="shared" si="0"/>
        <v>Dry Swale (infiltrating) 2.41 in/hr</v>
      </c>
      <c r="D11" s="32">
        <v>0</v>
      </c>
      <c r="E11" s="33">
        <v>0.46</v>
      </c>
      <c r="F11" s="33">
        <v>0.67</v>
      </c>
      <c r="G11" s="33">
        <v>0.87</v>
      </c>
      <c r="H11" s="33">
        <v>0.94</v>
      </c>
      <c r="I11" s="33">
        <v>0.97</v>
      </c>
      <c r="J11" s="33">
        <v>0.98</v>
      </c>
      <c r="K11" s="33">
        <v>1</v>
      </c>
      <c r="L11" s="33">
        <v>1</v>
      </c>
    </row>
    <row r="12" spans="1:13">
      <c r="A12" s="4" t="s">
        <v>616</v>
      </c>
      <c r="B12" s="4" t="s">
        <v>172</v>
      </c>
      <c r="C12" s="4" t="str">
        <f t="shared" si="0"/>
        <v>Dry Swale (infiltrating) 1.02 in/hr</v>
      </c>
      <c r="D12" s="32">
        <v>0</v>
      </c>
      <c r="E12" s="33">
        <v>0.41</v>
      </c>
      <c r="F12" s="33">
        <v>0.6</v>
      </c>
      <c r="G12" s="33">
        <v>0.81</v>
      </c>
      <c r="H12" s="33">
        <v>0.9</v>
      </c>
      <c r="I12" s="33">
        <v>0.94</v>
      </c>
      <c r="J12" s="33">
        <v>0.97</v>
      </c>
      <c r="K12" s="33">
        <v>0.99</v>
      </c>
      <c r="L12" s="33">
        <v>1</v>
      </c>
    </row>
    <row r="13" spans="1:13">
      <c r="A13" s="4" t="s">
        <v>616</v>
      </c>
      <c r="B13" s="4" t="s">
        <v>520</v>
      </c>
      <c r="C13" s="4" t="str">
        <f t="shared" si="0"/>
        <v>Dry Swale (infiltrating) 0.52 in/hr</v>
      </c>
      <c r="D13" s="32">
        <v>0</v>
      </c>
      <c r="E13" s="33">
        <v>0.38</v>
      </c>
      <c r="F13" s="33">
        <v>0.56000000000000005</v>
      </c>
      <c r="G13" s="33">
        <v>0.77</v>
      </c>
      <c r="H13" s="33">
        <v>0.87</v>
      </c>
      <c r="I13" s="33">
        <v>0.92</v>
      </c>
      <c r="J13" s="33">
        <v>0.95</v>
      </c>
      <c r="K13" s="33">
        <v>0.98</v>
      </c>
      <c r="L13" s="33">
        <v>0.99</v>
      </c>
    </row>
    <row r="14" spans="1:13">
      <c r="A14" s="4" t="s">
        <v>616</v>
      </c>
      <c r="B14" s="4" t="s">
        <v>675</v>
      </c>
      <c r="C14" s="4" t="str">
        <f t="shared" si="0"/>
        <v>Dry Swale (infiltrating) 0.27 in /hr</v>
      </c>
      <c r="D14" s="32">
        <v>0</v>
      </c>
      <c r="E14" s="33">
        <v>0.37</v>
      </c>
      <c r="F14" s="33">
        <v>0.54</v>
      </c>
      <c r="G14" s="33">
        <v>0.74</v>
      </c>
      <c r="H14" s="33">
        <v>0.85</v>
      </c>
      <c r="I14" s="33">
        <v>0.9</v>
      </c>
      <c r="J14" s="33">
        <v>0.93</v>
      </c>
      <c r="K14" s="33">
        <v>0.98</v>
      </c>
      <c r="L14" s="33">
        <v>0.99</v>
      </c>
    </row>
    <row r="15" spans="1:13">
      <c r="A15" s="4" t="s">
        <v>616</v>
      </c>
      <c r="B15" s="4" t="s">
        <v>330</v>
      </c>
      <c r="C15" s="4" t="str">
        <f t="shared" si="0"/>
        <v>Dry Swale (infiltrating) 0.17 in/hr</v>
      </c>
      <c r="D15" s="32">
        <v>0</v>
      </c>
      <c r="E15" s="33">
        <v>0.35</v>
      </c>
      <c r="F15" s="33">
        <v>0.52</v>
      </c>
      <c r="G15" s="33">
        <v>0.72</v>
      </c>
      <c r="H15" s="33">
        <v>0.82</v>
      </c>
      <c r="I15" s="33">
        <v>0.88</v>
      </c>
      <c r="J15" s="33">
        <v>0.92</v>
      </c>
      <c r="K15" s="33">
        <v>0.97</v>
      </c>
      <c r="L15" s="33">
        <v>0.99</v>
      </c>
    </row>
    <row r="16" spans="1:13">
      <c r="A16" s="4" t="s">
        <v>201</v>
      </c>
      <c r="B16" s="4"/>
      <c r="C16" s="4" t="str">
        <f t="shared" si="0"/>
        <v xml:space="preserve">Dry Swale (w/ underdrain) </v>
      </c>
      <c r="D16" s="34">
        <v>0</v>
      </c>
      <c r="E16" s="34">
        <v>0.14000000000000001</v>
      </c>
      <c r="F16" s="34">
        <v>0.25</v>
      </c>
      <c r="G16" s="34">
        <v>0.37</v>
      </c>
      <c r="H16" s="34">
        <v>0.44</v>
      </c>
      <c r="I16" s="34">
        <v>0.48</v>
      </c>
      <c r="J16" s="34">
        <v>0.53</v>
      </c>
      <c r="K16" s="34">
        <v>0.57999999999999996</v>
      </c>
      <c r="L16" s="34">
        <v>0.63</v>
      </c>
    </row>
    <row r="17" spans="1:12">
      <c r="A17" s="4" t="s">
        <v>165</v>
      </c>
      <c r="B17" s="4"/>
      <c r="C17" s="4" t="str">
        <f t="shared" si="0"/>
        <v xml:space="preserve">Gravel Wetland </v>
      </c>
      <c r="D17" s="34">
        <v>0</v>
      </c>
      <c r="E17" s="34">
        <v>0.19</v>
      </c>
      <c r="F17" s="34">
        <v>0.26</v>
      </c>
      <c r="G17" s="34">
        <v>0.41</v>
      </c>
      <c r="H17" s="34">
        <v>0.51</v>
      </c>
      <c r="I17" s="34">
        <v>0.56999999999999995</v>
      </c>
      <c r="J17" s="34">
        <v>0.61</v>
      </c>
      <c r="K17" s="34">
        <v>0.65</v>
      </c>
      <c r="L17" s="34">
        <v>0.66</v>
      </c>
    </row>
    <row r="18" spans="1:12">
      <c r="A18" s="4" t="s">
        <v>383</v>
      </c>
      <c r="B18" s="4" t="s">
        <v>384</v>
      </c>
      <c r="C18" s="4" t="str">
        <f t="shared" si="0"/>
        <v>Infiltration Chambers 8.27 in/hr</v>
      </c>
      <c r="D18" s="35">
        <v>0</v>
      </c>
      <c r="E18" s="35">
        <v>0.5</v>
      </c>
      <c r="F18" s="35">
        <v>0.75</v>
      </c>
      <c r="G18" s="35">
        <v>0.94</v>
      </c>
      <c r="H18" s="35">
        <v>0.98</v>
      </c>
      <c r="I18" s="35">
        <v>0.99</v>
      </c>
      <c r="J18" s="35">
        <v>1</v>
      </c>
      <c r="K18" s="35">
        <v>1</v>
      </c>
      <c r="L18" s="35">
        <v>1</v>
      </c>
    </row>
    <row r="19" spans="1:12">
      <c r="A19" s="4" t="s">
        <v>383</v>
      </c>
      <c r="B19" s="4" t="s">
        <v>209</v>
      </c>
      <c r="C19" s="4" t="str">
        <f t="shared" si="0"/>
        <v>Infiltration Chambers 2.41 in/hr</v>
      </c>
      <c r="D19" s="35">
        <v>0</v>
      </c>
      <c r="E19" s="35">
        <v>0.33</v>
      </c>
      <c r="F19" s="35">
        <v>0.55000000000000004</v>
      </c>
      <c r="G19" s="35">
        <v>0.81</v>
      </c>
      <c r="H19" s="35">
        <v>0.91</v>
      </c>
      <c r="I19" s="35">
        <v>0.96</v>
      </c>
      <c r="J19" s="35">
        <v>0.98</v>
      </c>
      <c r="K19" s="35">
        <v>1</v>
      </c>
      <c r="L19" s="35">
        <v>1</v>
      </c>
    </row>
    <row r="20" spans="1:12">
      <c r="A20" s="4" t="s">
        <v>383</v>
      </c>
      <c r="B20" s="4" t="s">
        <v>172</v>
      </c>
      <c r="C20" s="4" t="str">
        <f t="shared" si="0"/>
        <v>Infiltration Chambers 1.02 in/hr</v>
      </c>
      <c r="D20" s="35">
        <v>0</v>
      </c>
      <c r="E20" s="35">
        <v>0.27</v>
      </c>
      <c r="F20" s="35">
        <v>0.47</v>
      </c>
      <c r="G20" s="35">
        <v>0.73</v>
      </c>
      <c r="H20" s="35">
        <v>0.86</v>
      </c>
      <c r="I20" s="35">
        <v>0.92</v>
      </c>
      <c r="J20" s="35">
        <v>0.96</v>
      </c>
      <c r="K20" s="35">
        <v>0.99</v>
      </c>
      <c r="L20" s="35">
        <v>1</v>
      </c>
    </row>
    <row r="21" spans="1:12">
      <c r="A21" s="4" t="s">
        <v>383</v>
      </c>
      <c r="B21" s="4" t="s">
        <v>520</v>
      </c>
      <c r="C21" s="4" t="str">
        <f t="shared" si="0"/>
        <v>Infiltration Chambers 0.52 in/hr</v>
      </c>
      <c r="D21" s="35">
        <v>0</v>
      </c>
      <c r="E21" s="35">
        <v>0.23</v>
      </c>
      <c r="F21" s="35">
        <v>0.42</v>
      </c>
      <c r="G21" s="35">
        <v>0.68</v>
      </c>
      <c r="H21" s="35">
        <v>0.82</v>
      </c>
      <c r="I21" s="35">
        <v>0.89</v>
      </c>
      <c r="J21" s="35">
        <v>0.94</v>
      </c>
      <c r="K21" s="35">
        <v>0.98</v>
      </c>
      <c r="L21" s="35">
        <v>0.99</v>
      </c>
    </row>
    <row r="22" spans="1:12">
      <c r="A22" s="4" t="s">
        <v>383</v>
      </c>
      <c r="B22" s="4" t="s">
        <v>675</v>
      </c>
      <c r="C22" s="4" t="str">
        <f t="shared" si="0"/>
        <v>Infiltration Chambers 0.27 in /hr</v>
      </c>
      <c r="D22" s="35">
        <v>0</v>
      </c>
      <c r="E22" s="35">
        <v>0.2</v>
      </c>
      <c r="F22" s="35">
        <v>0.37</v>
      </c>
      <c r="G22" s="35">
        <v>0.63</v>
      </c>
      <c r="H22" s="35">
        <v>0.78</v>
      </c>
      <c r="I22" s="35">
        <v>0.86</v>
      </c>
      <c r="J22" s="35">
        <v>0.92</v>
      </c>
      <c r="K22" s="35">
        <v>0.97</v>
      </c>
      <c r="L22" s="35">
        <v>0.99</v>
      </c>
    </row>
    <row r="23" spans="1:12">
      <c r="A23" s="4" t="s">
        <v>383</v>
      </c>
      <c r="B23" s="4" t="s">
        <v>330</v>
      </c>
      <c r="C23" s="4" t="str">
        <f t="shared" si="0"/>
        <v>Infiltration Chambers 0.17 in/hr</v>
      </c>
      <c r="D23" s="35">
        <v>0</v>
      </c>
      <c r="E23" s="35">
        <v>0.18</v>
      </c>
      <c r="F23" s="35">
        <v>0.33</v>
      </c>
      <c r="G23" s="35">
        <v>0.56999999999999995</v>
      </c>
      <c r="H23" s="35">
        <v>0.73</v>
      </c>
      <c r="I23" s="35">
        <v>0.83</v>
      </c>
      <c r="J23" s="35">
        <v>0.9</v>
      </c>
      <c r="K23" s="35">
        <v>0.97</v>
      </c>
      <c r="L23" s="35">
        <v>0.99</v>
      </c>
    </row>
    <row r="24" spans="1:12">
      <c r="A24" s="4" t="s">
        <v>170</v>
      </c>
      <c r="B24" s="4" t="s">
        <v>384</v>
      </c>
      <c r="C24" s="4" t="str">
        <f t="shared" si="0"/>
        <v>Infiltration Trench 8.27 in/hr</v>
      </c>
      <c r="D24" s="35">
        <v>0</v>
      </c>
      <c r="E24" s="35">
        <v>0.5</v>
      </c>
      <c r="F24" s="35">
        <v>0.75</v>
      </c>
      <c r="G24" s="35">
        <v>0.94</v>
      </c>
      <c r="H24" s="35">
        <v>0.98</v>
      </c>
      <c r="I24" s="35">
        <v>0.99</v>
      </c>
      <c r="J24" s="35">
        <v>1</v>
      </c>
      <c r="K24" s="35">
        <v>1</v>
      </c>
      <c r="L24" s="35">
        <v>1</v>
      </c>
    </row>
    <row r="25" spans="1:12">
      <c r="A25" s="4" t="s">
        <v>170</v>
      </c>
      <c r="B25" s="4" t="s">
        <v>209</v>
      </c>
      <c r="C25" s="4" t="str">
        <f t="shared" si="0"/>
        <v>Infiltration Trench 2.41 in/hr</v>
      </c>
      <c r="D25" s="35">
        <v>0</v>
      </c>
      <c r="E25" s="35">
        <v>0.33</v>
      </c>
      <c r="F25" s="35">
        <v>0.55000000000000004</v>
      </c>
      <c r="G25" s="35">
        <v>0.81</v>
      </c>
      <c r="H25" s="35">
        <v>0.91</v>
      </c>
      <c r="I25" s="35">
        <v>0.96</v>
      </c>
      <c r="J25" s="35">
        <v>0.98</v>
      </c>
      <c r="K25" s="35">
        <v>1</v>
      </c>
      <c r="L25" s="35">
        <v>1</v>
      </c>
    </row>
    <row r="26" spans="1:12">
      <c r="A26" s="4" t="s">
        <v>170</v>
      </c>
      <c r="B26" s="4" t="s">
        <v>172</v>
      </c>
      <c r="C26" s="4" t="str">
        <f t="shared" si="0"/>
        <v>Infiltration Trench 1.02 in/hr</v>
      </c>
      <c r="D26" s="35">
        <v>0</v>
      </c>
      <c r="E26" s="35">
        <v>0.27</v>
      </c>
      <c r="F26" s="35">
        <v>0.47</v>
      </c>
      <c r="G26" s="35">
        <v>0.73</v>
      </c>
      <c r="H26" s="35">
        <v>0.86</v>
      </c>
      <c r="I26" s="35">
        <v>0.92</v>
      </c>
      <c r="J26" s="35">
        <v>0.96</v>
      </c>
      <c r="K26" s="35">
        <v>0.99</v>
      </c>
      <c r="L26" s="35">
        <v>1</v>
      </c>
    </row>
    <row r="27" spans="1:12">
      <c r="A27" s="4" t="s">
        <v>170</v>
      </c>
      <c r="B27" s="4" t="s">
        <v>520</v>
      </c>
      <c r="C27" s="4" t="str">
        <f t="shared" si="0"/>
        <v>Infiltration Trench 0.52 in/hr</v>
      </c>
      <c r="D27" s="35">
        <v>0</v>
      </c>
      <c r="E27" s="35">
        <v>0.23</v>
      </c>
      <c r="F27" s="35">
        <v>0.42</v>
      </c>
      <c r="G27" s="35">
        <v>0.68</v>
      </c>
      <c r="H27" s="35">
        <v>0.82</v>
      </c>
      <c r="I27" s="35">
        <v>0.89</v>
      </c>
      <c r="J27" s="35">
        <v>0.94</v>
      </c>
      <c r="K27" s="35">
        <v>0.98</v>
      </c>
      <c r="L27" s="35">
        <v>0.99</v>
      </c>
    </row>
    <row r="28" spans="1:12">
      <c r="A28" s="4" t="s">
        <v>170</v>
      </c>
      <c r="B28" s="4" t="s">
        <v>675</v>
      </c>
      <c r="C28" s="4" t="str">
        <f t="shared" si="0"/>
        <v>Infiltration Trench 0.27 in /hr</v>
      </c>
      <c r="D28" s="35">
        <v>0</v>
      </c>
      <c r="E28" s="35">
        <v>0.2</v>
      </c>
      <c r="F28" s="35">
        <v>0.37</v>
      </c>
      <c r="G28" s="35">
        <v>0.63</v>
      </c>
      <c r="H28" s="35">
        <v>0.78</v>
      </c>
      <c r="I28" s="35">
        <v>0.86</v>
      </c>
      <c r="J28" s="35">
        <v>0.92</v>
      </c>
      <c r="K28" s="35">
        <v>0.97</v>
      </c>
      <c r="L28" s="35">
        <v>0.99</v>
      </c>
    </row>
    <row r="29" spans="1:12">
      <c r="A29" s="4" t="s">
        <v>170</v>
      </c>
      <c r="B29" s="4" t="s">
        <v>330</v>
      </c>
      <c r="C29" s="4" t="str">
        <f t="shared" si="0"/>
        <v>Infiltration Trench 0.17 in/hr</v>
      </c>
      <c r="D29" s="35">
        <v>0</v>
      </c>
      <c r="E29" s="35">
        <v>0.18</v>
      </c>
      <c r="F29" s="35">
        <v>0.33</v>
      </c>
      <c r="G29" s="35">
        <v>0.56999999999999995</v>
      </c>
      <c r="H29" s="35">
        <v>0.73</v>
      </c>
      <c r="I29" s="35">
        <v>0.83</v>
      </c>
      <c r="J29" s="35">
        <v>0.9</v>
      </c>
      <c r="K29" s="35">
        <v>0.97</v>
      </c>
      <c r="L29" s="35">
        <v>0.99</v>
      </c>
    </row>
    <row r="30" spans="1:12">
      <c r="A30" s="4" t="s">
        <v>676</v>
      </c>
      <c r="B30" s="4"/>
      <c r="C30" s="4" t="str">
        <f t="shared" si="0"/>
        <v xml:space="preserve">Porous Pavement </v>
      </c>
      <c r="D30" s="4"/>
      <c r="E30" s="4"/>
      <c r="F30" s="4"/>
      <c r="G30" s="4"/>
      <c r="H30" s="4"/>
      <c r="I30" s="4"/>
      <c r="J30" s="4"/>
      <c r="K30" s="4"/>
      <c r="L30" s="4"/>
    </row>
    <row r="31" spans="1:12">
      <c r="A31" s="4" t="s">
        <v>329</v>
      </c>
      <c r="B31" s="4" t="s">
        <v>384</v>
      </c>
      <c r="C31" s="4" t="str">
        <f t="shared" si="0"/>
        <v>Sand filter (infiltrating) 8.27 in/hr</v>
      </c>
      <c r="D31" s="35">
        <v>0</v>
      </c>
      <c r="E31" s="35">
        <v>0.5</v>
      </c>
      <c r="F31" s="35">
        <v>0.75</v>
      </c>
      <c r="G31" s="35">
        <v>0.94</v>
      </c>
      <c r="H31" s="35">
        <v>0.98</v>
      </c>
      <c r="I31" s="35">
        <v>0.99</v>
      </c>
      <c r="J31" s="35">
        <v>1</v>
      </c>
      <c r="K31" s="35">
        <v>1</v>
      </c>
      <c r="L31" s="35">
        <v>1</v>
      </c>
    </row>
    <row r="32" spans="1:12">
      <c r="A32" s="4" t="s">
        <v>329</v>
      </c>
      <c r="B32" s="4" t="s">
        <v>209</v>
      </c>
      <c r="C32" s="4" t="str">
        <f t="shared" si="0"/>
        <v>Sand filter (infiltrating) 2.41 in/hr</v>
      </c>
      <c r="D32" s="35">
        <v>0</v>
      </c>
      <c r="E32" s="35">
        <v>0.33</v>
      </c>
      <c r="F32" s="35">
        <v>0.55000000000000004</v>
      </c>
      <c r="G32" s="35">
        <v>0.81</v>
      </c>
      <c r="H32" s="35">
        <v>0.91</v>
      </c>
      <c r="I32" s="35">
        <v>0.96</v>
      </c>
      <c r="J32" s="35">
        <v>0.98</v>
      </c>
      <c r="K32" s="35">
        <v>1</v>
      </c>
      <c r="L32" s="35">
        <v>1</v>
      </c>
    </row>
    <row r="33" spans="1:12">
      <c r="A33" s="4" t="s">
        <v>329</v>
      </c>
      <c r="B33" s="4" t="s">
        <v>172</v>
      </c>
      <c r="C33" s="4" t="str">
        <f t="shared" si="0"/>
        <v>Sand filter (infiltrating) 1.02 in/hr</v>
      </c>
      <c r="D33" s="35">
        <v>0</v>
      </c>
      <c r="E33" s="35">
        <v>0.27</v>
      </c>
      <c r="F33" s="35">
        <v>0.47</v>
      </c>
      <c r="G33" s="35">
        <v>0.73</v>
      </c>
      <c r="H33" s="35">
        <v>0.86</v>
      </c>
      <c r="I33" s="35">
        <v>0.92</v>
      </c>
      <c r="J33" s="35">
        <v>0.96</v>
      </c>
      <c r="K33" s="35">
        <v>0.99</v>
      </c>
      <c r="L33" s="35">
        <v>1</v>
      </c>
    </row>
    <row r="34" spans="1:12">
      <c r="A34" s="4" t="s">
        <v>329</v>
      </c>
      <c r="B34" s="4" t="s">
        <v>520</v>
      </c>
      <c r="C34" s="4" t="str">
        <f t="shared" si="0"/>
        <v>Sand filter (infiltrating) 0.52 in/hr</v>
      </c>
      <c r="D34" s="35">
        <v>0</v>
      </c>
      <c r="E34" s="35">
        <v>0.23</v>
      </c>
      <c r="F34" s="35">
        <v>0.42</v>
      </c>
      <c r="G34" s="35">
        <v>0.68</v>
      </c>
      <c r="H34" s="35">
        <v>0.82</v>
      </c>
      <c r="I34" s="35">
        <v>0.89</v>
      </c>
      <c r="J34" s="35">
        <v>0.94</v>
      </c>
      <c r="K34" s="35">
        <v>0.98</v>
      </c>
      <c r="L34" s="35">
        <v>0.99</v>
      </c>
    </row>
    <row r="35" spans="1:12">
      <c r="A35" s="4" t="s">
        <v>329</v>
      </c>
      <c r="B35" s="4" t="s">
        <v>675</v>
      </c>
      <c r="C35" s="4" t="str">
        <f t="shared" si="0"/>
        <v>Sand filter (infiltrating) 0.27 in /hr</v>
      </c>
      <c r="D35" s="35">
        <v>0</v>
      </c>
      <c r="E35" s="35">
        <v>0.2</v>
      </c>
      <c r="F35" s="35">
        <v>0.37</v>
      </c>
      <c r="G35" s="35">
        <v>0.63</v>
      </c>
      <c r="H35" s="35">
        <v>0.78</v>
      </c>
      <c r="I35" s="35">
        <v>0.86</v>
      </c>
      <c r="J35" s="35">
        <v>0.92</v>
      </c>
      <c r="K35" s="35">
        <v>0.97</v>
      </c>
      <c r="L35" s="35">
        <v>0.99</v>
      </c>
    </row>
    <row r="36" spans="1:12">
      <c r="A36" s="4" t="s">
        <v>329</v>
      </c>
      <c r="B36" s="4" t="s">
        <v>330</v>
      </c>
      <c r="C36" s="4" t="str">
        <f t="shared" si="0"/>
        <v>Sand filter (infiltrating) 0.17 in/hr</v>
      </c>
      <c r="D36" s="35">
        <v>0</v>
      </c>
      <c r="E36" s="35">
        <v>0.18</v>
      </c>
      <c r="F36" s="35">
        <v>0.33</v>
      </c>
      <c r="G36" s="35">
        <v>0.56999999999999995</v>
      </c>
      <c r="H36" s="35">
        <v>0.73</v>
      </c>
      <c r="I36" s="35">
        <v>0.83</v>
      </c>
      <c r="J36" s="35">
        <v>0.9</v>
      </c>
      <c r="K36" s="35">
        <v>0.97</v>
      </c>
      <c r="L36" s="35">
        <v>0.99</v>
      </c>
    </row>
    <row r="37" spans="1:12">
      <c r="A37" s="4" t="s">
        <v>483</v>
      </c>
      <c r="B37" s="4"/>
      <c r="C37" s="4" t="str">
        <f t="shared" si="0"/>
        <v xml:space="preserve">Sand filter (w/ underdrain) </v>
      </c>
      <c r="D37" s="34">
        <v>0</v>
      </c>
      <c r="E37" s="34">
        <v>0.14000000000000001</v>
      </c>
      <c r="F37" s="34">
        <v>0.25</v>
      </c>
      <c r="G37" s="34">
        <v>0.37</v>
      </c>
      <c r="H37" s="34">
        <v>0.44</v>
      </c>
      <c r="I37" s="34">
        <v>0.48</v>
      </c>
      <c r="J37" s="34">
        <v>0.53</v>
      </c>
      <c r="K37" s="34">
        <v>0.57999999999999996</v>
      </c>
      <c r="L37" s="34">
        <v>0.63</v>
      </c>
    </row>
    <row r="38" spans="1:12">
      <c r="A38" s="4" t="s">
        <v>519</v>
      </c>
      <c r="B38" s="4" t="s">
        <v>384</v>
      </c>
      <c r="C38" s="4" t="str">
        <f t="shared" si="0"/>
        <v>Infiltration Basin 8.27 in/hr</v>
      </c>
      <c r="D38" s="32">
        <v>0</v>
      </c>
      <c r="E38" s="32">
        <v>0.59</v>
      </c>
      <c r="F38" s="33">
        <v>0.81</v>
      </c>
      <c r="G38" s="33">
        <v>0.96</v>
      </c>
      <c r="H38" s="33">
        <v>0.99</v>
      </c>
      <c r="I38" s="33">
        <v>1</v>
      </c>
      <c r="J38" s="33">
        <v>1</v>
      </c>
      <c r="K38" s="33">
        <v>1</v>
      </c>
      <c r="L38" s="33">
        <v>1</v>
      </c>
    </row>
    <row r="39" spans="1:12">
      <c r="A39" s="4" t="s">
        <v>519</v>
      </c>
      <c r="B39" s="4" t="s">
        <v>209</v>
      </c>
      <c r="C39" s="4" t="str">
        <f t="shared" si="0"/>
        <v>Infiltration Basin 2.41 in/hr</v>
      </c>
      <c r="D39" s="33">
        <v>0</v>
      </c>
      <c r="E39" s="33">
        <v>0.46</v>
      </c>
      <c r="F39" s="33">
        <v>0.67</v>
      </c>
      <c r="G39" s="33">
        <v>0.87</v>
      </c>
      <c r="H39" s="33">
        <v>0.94</v>
      </c>
      <c r="I39" s="33">
        <v>0.97</v>
      </c>
      <c r="J39" s="33">
        <v>0.98</v>
      </c>
      <c r="K39" s="33">
        <v>1</v>
      </c>
      <c r="L39" s="33">
        <v>1</v>
      </c>
    </row>
    <row r="40" spans="1:12">
      <c r="A40" s="4" t="s">
        <v>519</v>
      </c>
      <c r="B40" s="4" t="s">
        <v>172</v>
      </c>
      <c r="C40" s="4" t="str">
        <f t="shared" si="0"/>
        <v>Infiltration Basin 1.02 in/hr</v>
      </c>
      <c r="D40" s="33">
        <v>0</v>
      </c>
      <c r="E40" s="33">
        <v>0.41</v>
      </c>
      <c r="F40" s="33">
        <v>0.6</v>
      </c>
      <c r="G40" s="33">
        <v>0.81</v>
      </c>
      <c r="H40" s="33">
        <v>0.9</v>
      </c>
      <c r="I40" s="33">
        <v>0.94</v>
      </c>
      <c r="J40" s="33">
        <v>0.97</v>
      </c>
      <c r="K40" s="33">
        <v>0.99</v>
      </c>
      <c r="L40" s="33">
        <v>1</v>
      </c>
    </row>
    <row r="41" spans="1:12">
      <c r="A41" s="4" t="s">
        <v>519</v>
      </c>
      <c r="B41" s="4" t="s">
        <v>520</v>
      </c>
      <c r="C41" s="4" t="str">
        <f t="shared" si="0"/>
        <v>Infiltration Basin 0.52 in/hr</v>
      </c>
      <c r="D41" s="33">
        <v>0</v>
      </c>
      <c r="E41" s="33">
        <v>0.38</v>
      </c>
      <c r="F41" s="33">
        <v>0.56000000000000005</v>
      </c>
      <c r="G41" s="33">
        <v>0.77</v>
      </c>
      <c r="H41" s="33">
        <v>0.87</v>
      </c>
      <c r="I41" s="33">
        <v>0.92</v>
      </c>
      <c r="J41" s="33">
        <v>0.95</v>
      </c>
      <c r="K41" s="33">
        <v>0.98</v>
      </c>
      <c r="L41" s="33">
        <v>0.99</v>
      </c>
    </row>
    <row r="42" spans="1:12">
      <c r="A42" s="4" t="s">
        <v>519</v>
      </c>
      <c r="B42" s="4" t="s">
        <v>675</v>
      </c>
      <c r="C42" s="4" t="str">
        <f t="shared" si="0"/>
        <v>Infiltration Basin 0.27 in /hr</v>
      </c>
      <c r="D42" s="33">
        <v>0</v>
      </c>
      <c r="E42" s="33">
        <v>0.37</v>
      </c>
      <c r="F42" s="33">
        <v>0.54</v>
      </c>
      <c r="G42" s="33">
        <v>0.74</v>
      </c>
      <c r="H42" s="33">
        <v>0.85</v>
      </c>
      <c r="I42" s="33">
        <v>0.9</v>
      </c>
      <c r="J42" s="33">
        <v>0.93</v>
      </c>
      <c r="K42" s="33">
        <v>0.98</v>
      </c>
      <c r="L42" s="33">
        <v>0.99</v>
      </c>
    </row>
    <row r="43" spans="1:12">
      <c r="A43" s="4" t="s">
        <v>519</v>
      </c>
      <c r="B43" s="4" t="s">
        <v>330</v>
      </c>
      <c r="C43" s="4" t="str">
        <f t="shared" si="0"/>
        <v>Infiltration Basin 0.17 in/hr</v>
      </c>
      <c r="D43" s="33">
        <v>0</v>
      </c>
      <c r="E43" s="33">
        <v>0.35</v>
      </c>
      <c r="F43" s="33">
        <v>0.52</v>
      </c>
      <c r="G43" s="33">
        <v>0.72</v>
      </c>
      <c r="H43" s="33">
        <v>0.82</v>
      </c>
      <c r="I43" s="33">
        <v>0.88</v>
      </c>
      <c r="J43" s="33">
        <v>0.92</v>
      </c>
      <c r="K43" s="33">
        <v>0.97</v>
      </c>
      <c r="L43" s="33">
        <v>0.99</v>
      </c>
    </row>
    <row r="44" spans="1:12">
      <c r="A44" s="4" t="s">
        <v>116</v>
      </c>
      <c r="B44" s="4"/>
      <c r="C44" s="4" t="str">
        <f t="shared" si="0"/>
        <v xml:space="preserve">Wet pond/ Created Wetland </v>
      </c>
      <c r="D44" s="34">
        <v>0</v>
      </c>
      <c r="E44" s="34">
        <v>0.14000000000000001</v>
      </c>
      <c r="F44" s="34">
        <v>0.25</v>
      </c>
      <c r="G44" s="34">
        <v>0.37</v>
      </c>
      <c r="H44" s="34">
        <v>0.44</v>
      </c>
      <c r="I44" s="34">
        <v>0.48</v>
      </c>
      <c r="J44" s="34">
        <v>0.53</v>
      </c>
      <c r="K44" s="34">
        <v>0.57999999999999996</v>
      </c>
      <c r="L44" s="34">
        <v>0.63</v>
      </c>
    </row>
    <row r="45" spans="1:12">
      <c r="A45" s="4" t="s">
        <v>124</v>
      </c>
      <c r="B45" s="4"/>
      <c r="C45" s="4" t="str">
        <f t="shared" si="0"/>
        <v xml:space="preserve">Grass Channel </v>
      </c>
      <c r="D45" s="34">
        <v>0</v>
      </c>
      <c r="E45" s="34">
        <v>0.02</v>
      </c>
      <c r="F45" s="34">
        <v>0.05</v>
      </c>
      <c r="G45" s="34">
        <v>0.09</v>
      </c>
      <c r="H45" s="34">
        <v>0.13</v>
      </c>
      <c r="I45" s="34">
        <v>0.17</v>
      </c>
      <c r="J45" s="34">
        <v>0.21</v>
      </c>
      <c r="K45" s="34">
        <v>0.28999999999999998</v>
      </c>
      <c r="L45" s="34">
        <v>0.36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A900-586B-416C-AFD9-B60F886C5DE5}">
  <dimension ref="A1:M52"/>
  <sheetViews>
    <sheetView topLeftCell="A26" zoomScaleNormal="100" workbookViewId="0">
      <selection activeCell="B39" sqref="B39"/>
    </sheetView>
  </sheetViews>
  <sheetFormatPr defaultRowHeight="14.4"/>
  <cols>
    <col min="1" max="1" width="17.109375" customWidth="1"/>
    <col min="2" max="11" width="28.44140625" customWidth="1"/>
    <col min="12" max="12" width="27.109375" customWidth="1"/>
    <col min="13" max="13" width="15.5546875" customWidth="1"/>
  </cols>
  <sheetData>
    <row r="1" spans="1:12" ht="42.6" customHeight="1" thickBot="1">
      <c r="A1" s="228" t="s">
        <v>677</v>
      </c>
      <c r="B1" s="219" t="s">
        <v>678</v>
      </c>
      <c r="C1" s="231" t="s">
        <v>679</v>
      </c>
      <c r="D1" s="231" t="s">
        <v>680</v>
      </c>
      <c r="E1" s="231" t="s">
        <v>681</v>
      </c>
      <c r="F1" s="231" t="s">
        <v>171</v>
      </c>
      <c r="G1" s="221" t="s">
        <v>682</v>
      </c>
      <c r="H1" s="221"/>
      <c r="I1" s="221"/>
      <c r="J1" s="221"/>
      <c r="K1" s="221"/>
      <c r="L1" s="220" t="s">
        <v>299</v>
      </c>
    </row>
    <row r="2" spans="1:12" ht="15" thickBot="1">
      <c r="A2" s="229"/>
      <c r="B2" s="230"/>
      <c r="C2" s="232"/>
      <c r="D2" s="232"/>
      <c r="E2" s="232"/>
      <c r="F2" s="232"/>
      <c r="G2" s="20" t="s">
        <v>683</v>
      </c>
      <c r="H2" s="21" t="s">
        <v>684</v>
      </c>
      <c r="I2" s="21" t="s">
        <v>93</v>
      </c>
      <c r="J2" s="21" t="s">
        <v>94</v>
      </c>
      <c r="K2" s="39" t="s">
        <v>685</v>
      </c>
      <c r="L2" s="222"/>
    </row>
    <row r="3" spans="1:12" ht="15" thickBot="1">
      <c r="A3" s="22" t="s">
        <v>686</v>
      </c>
      <c r="B3" s="23" t="s">
        <v>687</v>
      </c>
      <c r="C3" s="24">
        <v>2.2989999999999999</v>
      </c>
      <c r="D3" s="24">
        <v>0.82299999999999995</v>
      </c>
      <c r="E3" s="24">
        <v>1.1970000000000001</v>
      </c>
      <c r="F3" s="24">
        <v>1.04</v>
      </c>
      <c r="G3" s="24">
        <v>6.2E-2</v>
      </c>
      <c r="H3" s="24">
        <v>0.27300000000000002</v>
      </c>
      <c r="I3" s="24">
        <v>0.42</v>
      </c>
      <c r="J3" s="24">
        <v>0.78700000000000003</v>
      </c>
      <c r="K3" s="24">
        <v>0.28899999999999998</v>
      </c>
      <c r="L3" s="24">
        <v>0.25900000000000001</v>
      </c>
    </row>
    <row r="4" spans="1:12" ht="15" thickBot="1">
      <c r="A4" s="25" t="s">
        <v>686</v>
      </c>
      <c r="B4" s="26" t="s">
        <v>688</v>
      </c>
      <c r="C4" s="27">
        <v>2.2589999999999999</v>
      </c>
      <c r="D4" s="27">
        <v>0.83899999999999997</v>
      </c>
      <c r="E4" s="27">
        <v>1.169</v>
      </c>
      <c r="F4" s="27">
        <v>1.012</v>
      </c>
      <c r="G4" s="27">
        <v>0.14199999999999999</v>
      </c>
      <c r="H4" s="27">
        <v>0.13700000000000001</v>
      </c>
      <c r="I4" s="27">
        <v>0.16400000000000001</v>
      </c>
      <c r="J4" s="27">
        <v>0.64300000000000002</v>
      </c>
      <c r="K4" s="27">
        <v>0.28899999999999998</v>
      </c>
      <c r="L4" s="27">
        <v>0.26100000000000001</v>
      </c>
    </row>
    <row r="5" spans="1:12" ht="15" thickBot="1">
      <c r="A5" s="22" t="s">
        <v>686</v>
      </c>
      <c r="B5" s="23" t="s">
        <v>689</v>
      </c>
      <c r="C5" s="24">
        <v>2.3809999999999998</v>
      </c>
      <c r="D5" s="24">
        <v>1.097</v>
      </c>
      <c r="E5" s="24">
        <v>1.464</v>
      </c>
      <c r="F5" s="24">
        <v>1.298</v>
      </c>
      <c r="G5" s="29">
        <v>3.5999999999999997E-2</v>
      </c>
      <c r="H5" s="29">
        <v>0.23799999999999999</v>
      </c>
      <c r="I5" s="24">
        <v>0.94699999999999995</v>
      </c>
      <c r="J5" s="29" t="s">
        <v>690</v>
      </c>
      <c r="K5" s="24">
        <v>0.94699999999999995</v>
      </c>
      <c r="L5" s="24">
        <v>0.13100000000000001</v>
      </c>
    </row>
    <row r="6" spans="1:12" ht="15" thickBot="1">
      <c r="A6" s="25" t="s">
        <v>691</v>
      </c>
      <c r="B6" s="26" t="s">
        <v>692</v>
      </c>
      <c r="C6" s="27">
        <v>2.3210000000000002</v>
      </c>
      <c r="D6" s="27">
        <v>0.92700000000000005</v>
      </c>
      <c r="E6" s="27">
        <v>1.3089999999999999</v>
      </c>
      <c r="F6" s="27">
        <v>1.127</v>
      </c>
      <c r="G6" s="30">
        <v>3.5999999999999997E-2</v>
      </c>
      <c r="H6" s="30">
        <v>0.23799999999999999</v>
      </c>
      <c r="I6" s="27">
        <v>0.25</v>
      </c>
      <c r="J6" s="27">
        <v>0.374</v>
      </c>
      <c r="K6" s="27">
        <v>0.373</v>
      </c>
      <c r="L6" s="27">
        <v>0.13200000000000001</v>
      </c>
    </row>
    <row r="7" spans="1:12" ht="15" thickBot="1">
      <c r="A7" s="22" t="s">
        <v>693</v>
      </c>
      <c r="B7" s="23" t="s">
        <v>694</v>
      </c>
      <c r="C7" s="24">
        <v>2.2240000000000002</v>
      </c>
      <c r="D7" s="24">
        <v>0.89400000000000002</v>
      </c>
      <c r="E7" s="24">
        <v>1.2410000000000001</v>
      </c>
      <c r="F7" s="24">
        <v>1.081</v>
      </c>
      <c r="G7" s="24">
        <v>1E-3</v>
      </c>
      <c r="H7" s="24">
        <v>0.55600000000000005</v>
      </c>
      <c r="I7" s="29">
        <v>0.28799999999999998</v>
      </c>
      <c r="J7" s="24">
        <v>0.50600000000000001</v>
      </c>
      <c r="K7" s="24">
        <v>0.503</v>
      </c>
      <c r="L7" s="24">
        <v>7.2999999999999995E-2</v>
      </c>
    </row>
    <row r="8" spans="1:12" ht="15" thickBot="1">
      <c r="A8" s="25" t="s">
        <v>177</v>
      </c>
      <c r="B8" s="26" t="s">
        <v>695</v>
      </c>
      <c r="C8" s="27">
        <v>2.2080000000000002</v>
      </c>
      <c r="D8" s="27">
        <v>0.85399999999999998</v>
      </c>
      <c r="E8" s="27">
        <v>0.98899999999999999</v>
      </c>
      <c r="F8" s="27">
        <v>0.92800000000000005</v>
      </c>
      <c r="G8" s="27">
        <v>0.01</v>
      </c>
      <c r="H8" s="27">
        <v>0.34200000000000003</v>
      </c>
      <c r="I8" s="27">
        <v>0.28299999999999997</v>
      </c>
      <c r="J8" s="27">
        <v>0.33200000000000002</v>
      </c>
      <c r="K8" s="27">
        <v>0.28999999999999998</v>
      </c>
      <c r="L8" s="27">
        <v>7.0999999999999994E-2</v>
      </c>
    </row>
    <row r="9" spans="1:12" ht="15" thickBot="1">
      <c r="A9" s="22" t="s">
        <v>177</v>
      </c>
      <c r="B9" s="23" t="s">
        <v>696</v>
      </c>
      <c r="C9" s="24">
        <v>2.36</v>
      </c>
      <c r="D9" s="24">
        <v>0.95699999999999996</v>
      </c>
      <c r="E9" s="24">
        <v>1.2330000000000001</v>
      </c>
      <c r="F9" s="24">
        <v>1.097</v>
      </c>
      <c r="G9" s="24">
        <v>2.4E-2</v>
      </c>
      <c r="H9" s="24" t="s">
        <v>697</v>
      </c>
      <c r="I9" s="24">
        <v>0.14399999999999999</v>
      </c>
      <c r="J9" s="24">
        <v>0.4</v>
      </c>
      <c r="K9" s="24">
        <v>0.36599999999999999</v>
      </c>
      <c r="L9" s="24">
        <v>3.6999999999999998E-2</v>
      </c>
    </row>
    <row r="10" spans="1:12" ht="15" thickBot="1">
      <c r="A10" s="25" t="s">
        <v>177</v>
      </c>
      <c r="B10" s="26" t="s">
        <v>177</v>
      </c>
      <c r="C10" s="27">
        <v>2.1150000000000002</v>
      </c>
      <c r="D10" s="27">
        <v>0.81799999999999995</v>
      </c>
      <c r="E10" s="27">
        <v>1.1499999999999999</v>
      </c>
      <c r="F10" s="27">
        <v>0.998</v>
      </c>
      <c r="G10" s="27">
        <v>0.1</v>
      </c>
      <c r="H10" s="27">
        <v>0.27600000000000002</v>
      </c>
      <c r="I10" s="27">
        <v>0.27100000000000002</v>
      </c>
      <c r="J10" s="27">
        <v>0.39800000000000002</v>
      </c>
      <c r="K10" s="27">
        <v>0.29199999999999998</v>
      </c>
      <c r="L10" s="27">
        <v>0.248</v>
      </c>
    </row>
    <row r="11" spans="1:12" ht="15" thickBot="1">
      <c r="A11" s="22" t="s">
        <v>177</v>
      </c>
      <c r="B11" s="23" t="s">
        <v>398</v>
      </c>
      <c r="C11" s="24">
        <v>2.2719999999999998</v>
      </c>
      <c r="D11" s="24">
        <v>0.88100000000000001</v>
      </c>
      <c r="E11" s="24">
        <v>1.095</v>
      </c>
      <c r="F11" s="24">
        <v>1.0049999999999999</v>
      </c>
      <c r="G11" s="29">
        <v>3.5999999999999997E-2</v>
      </c>
      <c r="H11" s="29">
        <v>0.23799999999999999</v>
      </c>
      <c r="I11" s="24">
        <v>0.27300000000000002</v>
      </c>
      <c r="J11" s="24">
        <v>0.35099999999999998</v>
      </c>
      <c r="K11" s="24">
        <v>0.34799999999999998</v>
      </c>
      <c r="L11" s="24">
        <v>0.39900000000000002</v>
      </c>
    </row>
    <row r="12" spans="1:12" ht="15" thickBot="1">
      <c r="A12" s="25" t="s">
        <v>492</v>
      </c>
      <c r="B12" s="26" t="s">
        <v>698</v>
      </c>
      <c r="C12" s="27">
        <v>2.081</v>
      </c>
      <c r="D12" s="27">
        <v>0.877</v>
      </c>
      <c r="E12" s="27">
        <v>0.93300000000000005</v>
      </c>
      <c r="F12" s="27">
        <v>0.91400000000000003</v>
      </c>
      <c r="G12" s="27">
        <v>1E-3</v>
      </c>
      <c r="H12" s="27">
        <v>4.2999999999999997E-2</v>
      </c>
      <c r="I12" s="30">
        <v>0.28799999999999998</v>
      </c>
      <c r="J12" s="27">
        <v>0.30099999999999999</v>
      </c>
      <c r="K12" s="27">
        <v>9.5000000000000001E-2</v>
      </c>
      <c r="L12" s="27">
        <v>0.26800000000000002</v>
      </c>
    </row>
    <row r="13" spans="1:12" ht="15" thickBot="1">
      <c r="A13" s="22" t="s">
        <v>492</v>
      </c>
      <c r="B13" s="23" t="s">
        <v>134</v>
      </c>
      <c r="C13" s="24">
        <v>2.2069999999999999</v>
      </c>
      <c r="D13" s="24">
        <v>0.80200000000000005</v>
      </c>
      <c r="E13" s="24">
        <v>1.117</v>
      </c>
      <c r="F13" s="24">
        <v>0.98</v>
      </c>
      <c r="G13" s="24">
        <v>0.02</v>
      </c>
      <c r="H13" s="24">
        <v>0.254</v>
      </c>
      <c r="I13" s="24">
        <v>0.28399999999999997</v>
      </c>
      <c r="J13" s="24">
        <v>0.46700000000000003</v>
      </c>
      <c r="K13" s="24">
        <v>0.23100000000000001</v>
      </c>
      <c r="L13" s="24">
        <v>0.18099999999999999</v>
      </c>
    </row>
    <row r="14" spans="1:12" ht="15" thickBot="1">
      <c r="A14" s="25" t="s">
        <v>500</v>
      </c>
      <c r="B14" s="26" t="s">
        <v>499</v>
      </c>
      <c r="C14" s="27">
        <v>2.0750000000000002</v>
      </c>
      <c r="D14" s="27">
        <v>0.73499999999999999</v>
      </c>
      <c r="E14" s="27">
        <v>0.95199999999999996</v>
      </c>
      <c r="F14" s="27">
        <v>0.878</v>
      </c>
      <c r="G14" s="27">
        <v>0.01</v>
      </c>
      <c r="H14" s="27">
        <v>5.8999999999999997E-2</v>
      </c>
      <c r="I14" s="27">
        <v>0.123</v>
      </c>
      <c r="J14" s="27">
        <v>0.24299999999999999</v>
      </c>
      <c r="K14" s="27">
        <v>0.17199999999999999</v>
      </c>
      <c r="L14" s="27">
        <v>6.0999999999999999E-2</v>
      </c>
    </row>
    <row r="15" spans="1:12" ht="15" thickBot="1">
      <c r="A15" s="22" t="s">
        <v>699</v>
      </c>
      <c r="B15" s="23" t="s">
        <v>700</v>
      </c>
      <c r="C15" s="24" t="s">
        <v>697</v>
      </c>
      <c r="D15" s="24">
        <v>0.92100000000000004</v>
      </c>
      <c r="E15" s="24">
        <v>1.651</v>
      </c>
      <c r="F15" s="24">
        <v>1.4490000000000001</v>
      </c>
      <c r="G15" s="24">
        <v>1.4999999999999999E-2</v>
      </c>
      <c r="H15" s="24">
        <v>0.158</v>
      </c>
      <c r="I15" s="29">
        <v>0.28799999999999998</v>
      </c>
      <c r="J15" s="24">
        <v>0.35399999999999998</v>
      </c>
      <c r="K15" s="24">
        <v>8.2000000000000003E-2</v>
      </c>
      <c r="L15" s="24">
        <v>9.6000000000000002E-2</v>
      </c>
    </row>
    <row r="16" spans="1:12" ht="15" thickBot="1">
      <c r="A16" s="25" t="s">
        <v>699</v>
      </c>
      <c r="B16" s="26" t="s">
        <v>701</v>
      </c>
      <c r="C16" s="27">
        <v>1.9390000000000001</v>
      </c>
      <c r="D16" s="27">
        <v>0.75</v>
      </c>
      <c r="E16" s="27">
        <v>1.369</v>
      </c>
      <c r="F16" s="27">
        <v>1.2150000000000001</v>
      </c>
      <c r="G16" s="27">
        <v>1E-3</v>
      </c>
      <c r="H16" s="27">
        <v>5.8000000000000003E-2</v>
      </c>
      <c r="I16" s="30">
        <v>0.28799999999999998</v>
      </c>
      <c r="J16" s="27">
        <v>0.34</v>
      </c>
      <c r="K16" s="27">
        <v>6.4000000000000001E-2</v>
      </c>
      <c r="L16" s="27">
        <v>0.17</v>
      </c>
    </row>
    <row r="17" spans="1:13" ht="15" thickBot="1">
      <c r="A17" s="22" t="s">
        <v>504</v>
      </c>
      <c r="B17" s="23" t="s">
        <v>214</v>
      </c>
      <c r="C17" s="24">
        <v>2.0339999999999998</v>
      </c>
      <c r="D17" s="24">
        <v>0.81</v>
      </c>
      <c r="E17" s="24">
        <v>1.1379999999999999</v>
      </c>
      <c r="F17" s="24">
        <v>0.98599999999999999</v>
      </c>
      <c r="G17" s="24">
        <v>3.6999999999999998E-2</v>
      </c>
      <c r="H17" s="24">
        <v>0.21299999999999999</v>
      </c>
      <c r="I17" s="24">
        <v>0.438</v>
      </c>
      <c r="J17" s="24">
        <v>0.54700000000000004</v>
      </c>
      <c r="K17" s="24">
        <v>0.22800000000000001</v>
      </c>
      <c r="L17" s="24">
        <v>6.9000000000000006E-2</v>
      </c>
    </row>
    <row r="18" spans="1:13" ht="15" thickBot="1">
      <c r="A18" s="25" t="s">
        <v>504</v>
      </c>
      <c r="B18" s="26" t="s">
        <v>114</v>
      </c>
      <c r="C18" s="27">
        <v>2.0099999999999998</v>
      </c>
      <c r="D18" s="27">
        <v>0.67700000000000005</v>
      </c>
      <c r="E18" s="27">
        <v>0.82499999999999996</v>
      </c>
      <c r="F18" s="27">
        <v>0.75800000000000001</v>
      </c>
      <c r="G18" s="27">
        <v>1.0999999999999999E-2</v>
      </c>
      <c r="H18" s="27">
        <v>9.9000000000000005E-2</v>
      </c>
      <c r="I18" s="30">
        <v>0.28799999999999998</v>
      </c>
      <c r="J18" s="27">
        <v>0.39200000000000002</v>
      </c>
      <c r="K18" s="27">
        <v>1.2E-2</v>
      </c>
      <c r="L18" s="27">
        <v>2.8000000000000001E-2</v>
      </c>
    </row>
    <row r="19" spans="1:13" ht="15" thickBot="1">
      <c r="A19" s="22" t="s">
        <v>568</v>
      </c>
      <c r="B19" s="23" t="s">
        <v>567</v>
      </c>
      <c r="C19" s="24">
        <v>2.0670000000000002</v>
      </c>
      <c r="D19" s="24">
        <v>0.81899999999999995</v>
      </c>
      <c r="E19" s="24">
        <v>1.1439999999999999</v>
      </c>
      <c r="F19" s="24">
        <v>1.002</v>
      </c>
      <c r="G19" s="29">
        <v>3.5999999999999997E-2</v>
      </c>
      <c r="H19" s="29">
        <v>0.23799999999999999</v>
      </c>
      <c r="I19" s="24">
        <v>0.104</v>
      </c>
      <c r="J19" s="24">
        <v>0.29799999999999999</v>
      </c>
      <c r="K19" s="24">
        <v>0.29799999999999999</v>
      </c>
      <c r="L19" s="24">
        <v>0.34200000000000003</v>
      </c>
    </row>
    <row r="20" spans="1:13" ht="15" thickBot="1">
      <c r="A20" s="25" t="s">
        <v>527</v>
      </c>
      <c r="B20" s="26" t="s">
        <v>164</v>
      </c>
      <c r="C20" s="27">
        <v>1.992</v>
      </c>
      <c r="D20" s="27">
        <v>0.79100000000000004</v>
      </c>
      <c r="E20" s="27">
        <v>1.24</v>
      </c>
      <c r="F20" s="27">
        <v>1.0589999999999999</v>
      </c>
      <c r="G20" s="30">
        <v>3.5999999999999997E-2</v>
      </c>
      <c r="H20" s="27">
        <v>4.9000000000000002E-2</v>
      </c>
      <c r="I20" s="27">
        <v>0.19400000000000001</v>
      </c>
      <c r="J20" s="30">
        <v>0.41199999999999998</v>
      </c>
      <c r="K20" s="27">
        <v>0.17799999999999999</v>
      </c>
      <c r="L20" s="27">
        <v>6.9000000000000006E-2</v>
      </c>
    </row>
    <row r="21" spans="1:13" ht="15" thickBot="1">
      <c r="A21" s="22" t="s">
        <v>509</v>
      </c>
      <c r="B21" s="23" t="s">
        <v>702</v>
      </c>
      <c r="C21" s="24">
        <v>2</v>
      </c>
      <c r="D21" s="24">
        <v>0.81699999999999995</v>
      </c>
      <c r="E21" s="24">
        <v>0.71399999999999997</v>
      </c>
      <c r="F21" s="24">
        <v>0.76</v>
      </c>
      <c r="G21" s="24">
        <v>2.3E-2</v>
      </c>
      <c r="H21" s="24">
        <v>0.28499999999999998</v>
      </c>
      <c r="I21" s="24">
        <v>0.50800000000000001</v>
      </c>
      <c r="J21" s="24">
        <v>0.316</v>
      </c>
      <c r="K21" s="24">
        <v>0.41499999999999998</v>
      </c>
      <c r="L21" s="24">
        <v>8.7999999999999995E-2</v>
      </c>
    </row>
    <row r="22" spans="1:13" ht="15" thickBot="1">
      <c r="A22" s="25" t="s">
        <v>509</v>
      </c>
      <c r="B22" s="26" t="s">
        <v>703</v>
      </c>
      <c r="C22" s="27">
        <v>2.056</v>
      </c>
      <c r="D22" s="27">
        <v>0.80600000000000005</v>
      </c>
      <c r="E22" s="27">
        <v>1.149</v>
      </c>
      <c r="F22" s="27">
        <v>0.98099999999999998</v>
      </c>
      <c r="G22" s="27">
        <v>8.9999999999999993E-3</v>
      </c>
      <c r="H22" s="27">
        <v>0.26600000000000001</v>
      </c>
      <c r="I22" s="27">
        <v>0.28599999999999998</v>
      </c>
      <c r="J22" s="27">
        <v>0.433</v>
      </c>
      <c r="K22" s="27">
        <v>0.26100000000000001</v>
      </c>
      <c r="L22" s="27">
        <v>0.20399999999999999</v>
      </c>
    </row>
    <row r="23" spans="1:13" ht="15" thickBot="1">
      <c r="A23" s="22" t="s">
        <v>704</v>
      </c>
      <c r="B23" s="23" t="s">
        <v>705</v>
      </c>
      <c r="C23" s="24">
        <v>1.9670000000000001</v>
      </c>
      <c r="D23" s="24">
        <v>0.72899999999999998</v>
      </c>
      <c r="E23" s="24">
        <v>0.75900000000000001</v>
      </c>
      <c r="F23" s="24">
        <v>0.746</v>
      </c>
      <c r="G23" s="29">
        <v>3.5999999999999997E-2</v>
      </c>
      <c r="H23" s="24">
        <v>2.4E-2</v>
      </c>
      <c r="I23" s="24">
        <v>8.4000000000000005E-2</v>
      </c>
      <c r="J23" s="24">
        <v>7.5999999999999998E-2</v>
      </c>
      <c r="K23" s="24">
        <v>7.6999999999999999E-2</v>
      </c>
      <c r="L23" s="24">
        <v>6.9000000000000006E-2</v>
      </c>
    </row>
    <row r="24" spans="1:13" ht="15" thickBot="1">
      <c r="A24" s="223" t="s">
        <v>706</v>
      </c>
      <c r="B24" s="224"/>
      <c r="C24" s="27">
        <v>2.1379999999999999</v>
      </c>
      <c r="D24" s="27">
        <v>0.81</v>
      </c>
      <c r="E24" s="27">
        <v>1.115</v>
      </c>
      <c r="F24" s="27">
        <v>0.98</v>
      </c>
      <c r="G24" s="27">
        <v>3.5999999999999997E-2</v>
      </c>
      <c r="H24" s="27">
        <v>0.23799999999999999</v>
      </c>
      <c r="I24" s="27">
        <v>0.28799999999999998</v>
      </c>
      <c r="J24" s="27">
        <v>0.41199999999999998</v>
      </c>
      <c r="K24" s="27">
        <v>0.24299999999999999</v>
      </c>
      <c r="L24" s="27">
        <v>6.4000000000000001E-2</v>
      </c>
    </row>
    <row r="25" spans="1:13" ht="15" thickBot="1">
      <c r="A25" s="225" t="s">
        <v>707</v>
      </c>
      <c r="B25" s="226"/>
      <c r="C25" s="226"/>
      <c r="D25" s="226"/>
      <c r="E25" s="226"/>
      <c r="F25" s="226"/>
      <c r="G25" s="226"/>
      <c r="H25" s="226"/>
      <c r="I25" s="226"/>
      <c r="J25" s="226"/>
      <c r="K25" s="226"/>
      <c r="L25" s="227"/>
    </row>
    <row r="26" spans="1:13">
      <c r="A26" s="28" t="s">
        <v>708</v>
      </c>
    </row>
    <row r="27" spans="1:13">
      <c r="A27" s="28" t="s">
        <v>709</v>
      </c>
    </row>
    <row r="28" spans="1:13" ht="29.4" thickBot="1">
      <c r="A28" s="69" t="s">
        <v>710</v>
      </c>
    </row>
    <row r="29" spans="1:13" s="79" customFormat="1" ht="42.6" customHeight="1">
      <c r="A29" s="212" t="s">
        <v>677</v>
      </c>
      <c r="B29" s="211" t="s">
        <v>678</v>
      </c>
      <c r="C29" s="213" t="s">
        <v>711</v>
      </c>
      <c r="D29" s="213" t="s">
        <v>117</v>
      </c>
      <c r="E29" s="213" t="s">
        <v>682</v>
      </c>
      <c r="F29" s="213" t="s">
        <v>171</v>
      </c>
      <c r="G29" s="219" t="s">
        <v>712</v>
      </c>
      <c r="H29" s="219"/>
      <c r="I29" s="219"/>
      <c r="J29" s="219"/>
      <c r="K29" s="219"/>
      <c r="L29" s="220"/>
      <c r="M29" s="74" t="s">
        <v>299</v>
      </c>
    </row>
    <row r="30" spans="1:13" ht="43.2">
      <c r="A30" s="76"/>
      <c r="B30" s="77"/>
      <c r="C30" s="78"/>
      <c r="D30" s="78"/>
      <c r="E30" s="78"/>
      <c r="F30" s="78"/>
      <c r="G30" s="80" t="s">
        <v>713</v>
      </c>
      <c r="H30" s="70" t="s">
        <v>146</v>
      </c>
      <c r="I30" s="70" t="s">
        <v>714</v>
      </c>
      <c r="J30" s="70" t="s">
        <v>136</v>
      </c>
      <c r="K30" s="70" t="s">
        <v>715</v>
      </c>
      <c r="L30" s="71" t="s">
        <v>241</v>
      </c>
      <c r="M30" s="75"/>
    </row>
    <row r="31" spans="1:13">
      <c r="A31" t="s">
        <v>699</v>
      </c>
      <c r="B31" t="s">
        <v>700</v>
      </c>
      <c r="C31" s="72"/>
      <c r="D31" s="72"/>
      <c r="E31" s="72"/>
      <c r="F31" s="72"/>
      <c r="G31" s="73"/>
      <c r="H31" s="73"/>
      <c r="I31" s="73"/>
      <c r="J31" s="73"/>
      <c r="K31" s="73"/>
      <c r="L31" s="73"/>
      <c r="M31" s="72"/>
    </row>
    <row r="32" spans="1:13" ht="15" thickBot="1">
      <c r="A32" t="s">
        <v>699</v>
      </c>
      <c r="B32" s="26" t="s">
        <v>701</v>
      </c>
      <c r="C32" s="72"/>
      <c r="D32" s="72"/>
      <c r="E32" s="72"/>
      <c r="F32" s="72"/>
      <c r="G32" s="73"/>
      <c r="H32" s="73"/>
      <c r="I32" s="73"/>
      <c r="J32" s="73"/>
      <c r="K32" s="73"/>
      <c r="L32" s="73"/>
      <c r="M32" s="72"/>
    </row>
    <row r="33" spans="1:13" ht="15" thickBot="1">
      <c r="A33" t="s">
        <v>704</v>
      </c>
      <c r="B33" s="23" t="s">
        <v>705</v>
      </c>
      <c r="C33" s="72">
        <v>1.9674517189756993</v>
      </c>
      <c r="D33" s="72">
        <v>0.72855522269914774</v>
      </c>
      <c r="E33" s="72">
        <v>7.6941652636199481E-2</v>
      </c>
      <c r="F33" s="72">
        <v>0.75946865895160176</v>
      </c>
      <c r="G33" s="73">
        <v>1.2877389753483093</v>
      </c>
      <c r="H33" s="73">
        <v>0.88799117153919793</v>
      </c>
      <c r="I33" s="73">
        <v>0.83180767750314222</v>
      </c>
      <c r="J33" s="73">
        <v>0.57359285397223214</v>
      </c>
      <c r="K33" s="73">
        <v>0.60877744114107368</v>
      </c>
      <c r="L33" s="73">
        <v>0.41979702681537462</v>
      </c>
      <c r="M33" s="72">
        <v>6.907707954545475E-2</v>
      </c>
    </row>
    <row r="34" spans="1:13" ht="15" thickBot="1">
      <c r="A34" t="s">
        <v>492</v>
      </c>
      <c r="B34" s="26" t="s">
        <v>698</v>
      </c>
      <c r="C34" s="72">
        <v>2.08076399577461</v>
      </c>
      <c r="D34" s="72">
        <v>0.87666022181183911</v>
      </c>
      <c r="E34" s="72">
        <v>9.4636445275426875E-2</v>
      </c>
      <c r="F34" s="72">
        <v>0.932751634148695</v>
      </c>
      <c r="G34" s="73">
        <v>2.5308242340639411</v>
      </c>
      <c r="H34" s="73">
        <v>1.1615959771246145</v>
      </c>
      <c r="I34" s="73">
        <v>1.8386001950145703</v>
      </c>
      <c r="J34" s="73">
        <v>0.84387946081896803</v>
      </c>
      <c r="K34" s="73">
        <v>1.1849819825804981</v>
      </c>
      <c r="L34" s="73">
        <v>0.54388222042601164</v>
      </c>
      <c r="M34" s="72">
        <v>0.26814633302159058</v>
      </c>
    </row>
    <row r="35" spans="1:13">
      <c r="A35" t="s">
        <v>492</v>
      </c>
      <c r="B35" t="s">
        <v>134</v>
      </c>
      <c r="C35" s="72">
        <v>2.2065218907184501</v>
      </c>
      <c r="D35" s="72">
        <v>0.80240389870324969</v>
      </c>
      <c r="E35" s="72">
        <v>0.23050828586457206</v>
      </c>
      <c r="F35" s="72">
        <v>1.1167469989151166</v>
      </c>
      <c r="G35" s="73">
        <v>1.4156385917609531</v>
      </c>
      <c r="H35" s="73">
        <v>1.0180080808309218</v>
      </c>
      <c r="I35" s="73">
        <v>0.91331667916642933</v>
      </c>
      <c r="J35" s="73">
        <v>0.65678045594428713</v>
      </c>
      <c r="K35" s="73">
        <v>0.66480304824216097</v>
      </c>
      <c r="L35" s="73">
        <v>0.47807037700892951</v>
      </c>
      <c r="M35" s="72">
        <v>0.18124647046443598</v>
      </c>
    </row>
    <row r="36" spans="1:13">
      <c r="A36" t="s">
        <v>504</v>
      </c>
      <c r="B36" t="s">
        <v>214</v>
      </c>
      <c r="C36" s="72">
        <v>2.0335511180926065</v>
      </c>
      <c r="D36" s="72">
        <v>0.81011223826361922</v>
      </c>
      <c r="E36" s="72">
        <v>0.22798116478955813</v>
      </c>
      <c r="F36" s="72">
        <v>1.137799380366364</v>
      </c>
      <c r="G36" s="73">
        <v>1.1908160752299981</v>
      </c>
      <c r="H36" s="73">
        <v>1.03362117538242</v>
      </c>
      <c r="I36" s="73">
        <v>0.7684932913007505</v>
      </c>
      <c r="J36" s="73">
        <v>0.66704754457934778</v>
      </c>
      <c r="K36" s="73">
        <v>0.55963994451581578</v>
      </c>
      <c r="L36" s="73">
        <v>0.48576409848150981</v>
      </c>
      <c r="M36" s="72">
        <v>6.8982424266792533E-2</v>
      </c>
    </row>
    <row r="37" spans="1:13" ht="15" thickBot="1">
      <c r="A37" t="s">
        <v>504</v>
      </c>
      <c r="B37" s="26" t="s">
        <v>114</v>
      </c>
      <c r="C37" s="72">
        <v>2.0095515583469141</v>
      </c>
      <c r="D37" s="72">
        <v>0.67663995531872989</v>
      </c>
      <c r="E37" s="72">
        <v>1.2049253335999644E-2</v>
      </c>
      <c r="F37" s="72">
        <v>0.82497732500373178</v>
      </c>
      <c r="G37" s="73">
        <v>1.1333622585596514</v>
      </c>
      <c r="H37" s="73">
        <v>0.92135786100340589</v>
      </c>
      <c r="I37" s="73">
        <v>0.83966608566189616</v>
      </c>
      <c r="J37" s="73">
        <v>0.6825998861350201</v>
      </c>
      <c r="K37" s="73">
        <v>0.58440965539170764</v>
      </c>
      <c r="L37" s="73">
        <v>0.475091195224498</v>
      </c>
      <c r="M37" s="72">
        <v>2.8392464943022465E-2</v>
      </c>
    </row>
    <row r="38" spans="1:13" ht="15" thickBot="1">
      <c r="A38" t="s">
        <v>509</v>
      </c>
      <c r="B38" s="23" t="s">
        <v>627</v>
      </c>
      <c r="C38" s="72">
        <v>2.000321287528112</v>
      </c>
      <c r="D38" s="72">
        <v>0.81737548064630916</v>
      </c>
      <c r="E38" s="72">
        <v>0.41485444767877083</v>
      </c>
      <c r="F38" s="72">
        <v>0.71412149724451168</v>
      </c>
      <c r="G38" s="73">
        <v>1.3323266042845694</v>
      </c>
      <c r="H38" s="73">
        <v>1.0396297748829464</v>
      </c>
      <c r="I38" s="73">
        <v>0.85982129182795175</v>
      </c>
      <c r="J38" s="73">
        <v>0.67092844441296762</v>
      </c>
      <c r="K38" s="73">
        <v>0.62560578401774281</v>
      </c>
      <c r="L38" s="73">
        <v>0.48816738952164435</v>
      </c>
      <c r="M38" s="72">
        <v>8.7567738924895666E-2</v>
      </c>
    </row>
    <row r="39" spans="1:13">
      <c r="A39" t="s">
        <v>509</v>
      </c>
      <c r="B39" t="s">
        <v>206</v>
      </c>
      <c r="C39" s="72">
        <v>2.0564816894786837</v>
      </c>
      <c r="D39" s="72">
        <v>0.8059170647951106</v>
      </c>
      <c r="E39" s="72">
        <v>0.26077593677339977</v>
      </c>
      <c r="F39" s="72">
        <v>1.1493408226491317</v>
      </c>
      <c r="G39" s="73">
        <v>1.2273902233475866</v>
      </c>
      <c r="H39" s="73">
        <v>1.0280466019640748</v>
      </c>
      <c r="I39" s="73">
        <v>0.79135794685109206</v>
      </c>
      <c r="J39" s="73">
        <v>0.66283145549151157</v>
      </c>
      <c r="K39" s="73">
        <v>0.57698072271342127</v>
      </c>
      <c r="L39" s="73">
        <v>0.48327179091138167</v>
      </c>
      <c r="M39" s="72">
        <v>0.20364745321609101</v>
      </c>
    </row>
    <row r="40" spans="1:13" ht="15" thickBot="1">
      <c r="A40" t="s">
        <v>568</v>
      </c>
      <c r="B40" s="23" t="s">
        <v>567</v>
      </c>
      <c r="C40" s="72">
        <v>2.0665564784922026</v>
      </c>
      <c r="D40" s="72">
        <v>0.81927396784056783</v>
      </c>
      <c r="E40" s="72">
        <v>0.29803631194887803</v>
      </c>
      <c r="F40" s="72">
        <v>1.1435097776412828</v>
      </c>
      <c r="G40" s="73">
        <v>1.4138461934767548</v>
      </c>
      <c r="H40" s="73">
        <v>0.98675943027240909</v>
      </c>
      <c r="I40" s="73">
        <v>0.9285371394542008</v>
      </c>
      <c r="J40" s="73">
        <v>0.6480498253218685</v>
      </c>
      <c r="K40" s="73">
        <v>0.67548124254029718</v>
      </c>
      <c r="L40" s="73">
        <v>0.47143564068287824</v>
      </c>
      <c r="M40" s="72">
        <v>0.34205111840483049</v>
      </c>
    </row>
    <row r="41" spans="1:13">
      <c r="A41" t="s">
        <v>177</v>
      </c>
      <c r="B41" t="s">
        <v>695</v>
      </c>
      <c r="C41" s="72">
        <v>2.207592483550266</v>
      </c>
      <c r="D41" s="72">
        <v>0.85388084712613688</v>
      </c>
      <c r="E41" s="72">
        <v>0.29006399074021927</v>
      </c>
      <c r="F41" s="72">
        <v>0.98947287274235085</v>
      </c>
      <c r="G41" s="73">
        <v>1.2982727236711471</v>
      </c>
      <c r="H41" s="73">
        <v>1.1014724218476066</v>
      </c>
      <c r="I41" s="73">
        <v>0.83511687600600426</v>
      </c>
      <c r="J41" s="73">
        <v>0.70852463520841968</v>
      </c>
      <c r="K41" s="73">
        <v>0.61083277141108483</v>
      </c>
      <c r="L41" s="73">
        <v>0.51823891837419311</v>
      </c>
      <c r="M41" s="72">
        <v>7.1058318876204354E-2</v>
      </c>
    </row>
    <row r="42" spans="1:13">
      <c r="A42" t="s">
        <v>177</v>
      </c>
      <c r="B42" t="s">
        <v>696</v>
      </c>
      <c r="C42" s="72">
        <v>2.360343328166032</v>
      </c>
      <c r="D42" s="72">
        <v>0.95706008577113777</v>
      </c>
      <c r="E42" s="72">
        <v>0.36559865142765335</v>
      </c>
      <c r="F42" s="72">
        <v>1.2331602803288975</v>
      </c>
      <c r="G42" s="73">
        <v>1.5675963744063697</v>
      </c>
      <c r="H42" s="73">
        <v>1.2606162847185136</v>
      </c>
      <c r="I42" s="73">
        <v>1.055205132777677</v>
      </c>
      <c r="J42" s="73">
        <v>0.84856586543320867</v>
      </c>
      <c r="K42" s="73">
        <v>0.7346664377987816</v>
      </c>
      <c r="L42" s="73">
        <v>0.59079779109338693</v>
      </c>
      <c r="M42" s="72">
        <v>3.6505674981082238E-2</v>
      </c>
    </row>
    <row r="43" spans="1:13">
      <c r="A43" t="s">
        <v>177</v>
      </c>
      <c r="B43" t="s">
        <v>177</v>
      </c>
      <c r="C43" s="72">
        <v>2.1149043032596371</v>
      </c>
      <c r="D43" s="72">
        <v>0.81806716298916904</v>
      </c>
      <c r="E43" s="72">
        <v>0.29158396552124244</v>
      </c>
      <c r="F43" s="72">
        <v>1.1499934161271643</v>
      </c>
      <c r="G43" s="73">
        <v>1.266717670653934</v>
      </c>
      <c r="H43" s="73">
        <v>1.0586917233608726</v>
      </c>
      <c r="I43" s="73">
        <v>0.82096839173005576</v>
      </c>
      <c r="J43" s="73">
        <v>0.68614535156583312</v>
      </c>
      <c r="K43" s="73">
        <v>0.59455120392804317</v>
      </c>
      <c r="L43" s="73">
        <v>0.496911390197876</v>
      </c>
      <c r="M43" s="72">
        <v>0.2480019029325716</v>
      </c>
    </row>
    <row r="44" spans="1:13" ht="15" thickBot="1">
      <c r="A44" t="s">
        <v>177</v>
      </c>
      <c r="B44" s="23" t="s">
        <v>398</v>
      </c>
      <c r="C44" s="72">
        <v>2.2724844081119198</v>
      </c>
      <c r="D44" s="72">
        <v>0.88136059243974729</v>
      </c>
      <c r="E44" s="72">
        <v>0.34818044610350407</v>
      </c>
      <c r="F44" s="72">
        <v>1.0954936847511512</v>
      </c>
      <c r="G44" s="73"/>
      <c r="H44" s="73">
        <v>1.201466133616939</v>
      </c>
      <c r="I44" s="73"/>
      <c r="J44" s="73">
        <v>0.80301019461515122</v>
      </c>
      <c r="K44" s="73"/>
      <c r="L44" s="73">
        <v>0.57991123055023885</v>
      </c>
      <c r="M44" s="72">
        <v>0.39920201738368838</v>
      </c>
    </row>
    <row r="45" spans="1:13" ht="15" thickBot="1">
      <c r="A45" t="s">
        <v>693</v>
      </c>
      <c r="B45" s="23" t="s">
        <v>694</v>
      </c>
      <c r="C45" s="72">
        <v>2.2243784341389046</v>
      </c>
      <c r="D45" s="72">
        <v>0.89435990158426981</v>
      </c>
      <c r="E45" s="72">
        <v>0.50312036424520046</v>
      </c>
      <c r="F45" s="72">
        <v>1.2407840510624966</v>
      </c>
      <c r="G45" s="73">
        <v>2.14879050481336</v>
      </c>
      <c r="H45" s="73">
        <v>1.2300416721260505</v>
      </c>
      <c r="I45" s="73">
        <v>1.4418022130848254</v>
      </c>
      <c r="J45" s="73">
        <v>0.82533723091443933</v>
      </c>
      <c r="K45" s="73">
        <v>1.0931865292675951</v>
      </c>
      <c r="L45" s="73">
        <v>0.62577760995959975</v>
      </c>
      <c r="M45" s="72">
        <v>7.2804586561663359E-2</v>
      </c>
    </row>
    <row r="46" spans="1:13">
      <c r="A46" t="s">
        <v>500</v>
      </c>
      <c r="B46" t="s">
        <v>499</v>
      </c>
      <c r="C46" s="72">
        <v>2.0751672083830179</v>
      </c>
      <c r="D46" s="72">
        <v>0.73528847133011754</v>
      </c>
      <c r="E46" s="72">
        <v>0.17203056016182849</v>
      </c>
      <c r="F46" s="72">
        <v>0.95196074788344909</v>
      </c>
      <c r="G46" s="73">
        <v>1.4495413108549702</v>
      </c>
      <c r="H46" s="73">
        <v>0.97902167622520175</v>
      </c>
      <c r="I46" s="73">
        <v>1.0014678521831684</v>
      </c>
      <c r="J46" s="73">
        <v>0.67639240633419595</v>
      </c>
      <c r="K46" s="73">
        <v>0.69717721578130565</v>
      </c>
      <c r="L46" s="73">
        <v>0.47087420089990367</v>
      </c>
      <c r="M46" s="72">
        <v>6.1086090795554375E-2</v>
      </c>
    </row>
    <row r="47" spans="1:13" ht="15" thickBot="1">
      <c r="A47" t="s">
        <v>691</v>
      </c>
      <c r="B47" s="26" t="s">
        <v>692</v>
      </c>
      <c r="C47" s="72">
        <v>2.3205333427787078</v>
      </c>
      <c r="D47" s="72">
        <v>0.92662379999815003</v>
      </c>
      <c r="E47" s="72">
        <v>0.37315124339531042</v>
      </c>
      <c r="F47" s="72">
        <v>1.3093845538283591</v>
      </c>
      <c r="G47" s="73">
        <v>1.9296473125496165</v>
      </c>
      <c r="H47" s="73">
        <v>1.1656669966673867</v>
      </c>
      <c r="I47" s="73">
        <v>1.2617953604772032</v>
      </c>
      <c r="J47" s="73">
        <v>0.76222903464826031</v>
      </c>
      <c r="K47" s="73">
        <v>0.92052769372385779</v>
      </c>
      <c r="L47" s="73">
        <v>0.55607506362106518</v>
      </c>
      <c r="M47" s="72">
        <v>0.13154441208782935</v>
      </c>
    </row>
    <row r="48" spans="1:13">
      <c r="A48" t="s">
        <v>686</v>
      </c>
      <c r="B48" t="s">
        <v>687</v>
      </c>
      <c r="C48" s="72">
        <v>2.2987936985516404</v>
      </c>
      <c r="D48" s="72">
        <v>0.82328144694635919</v>
      </c>
      <c r="E48" s="72">
        <v>0.28945054164692041</v>
      </c>
      <c r="F48" s="72">
        <v>1.1973134738467748</v>
      </c>
      <c r="G48" s="73">
        <v>1.1910144658822279</v>
      </c>
      <c r="H48" s="73">
        <v>1.0111579778071842</v>
      </c>
      <c r="I48" s="73">
        <v>0.77494642104720801</v>
      </c>
      <c r="J48" s="73">
        <v>0.65792085525558541</v>
      </c>
      <c r="K48" s="73">
        <v>0.56430790332913294</v>
      </c>
      <c r="L48" s="73">
        <v>0.47909110656202697</v>
      </c>
      <c r="M48" s="72">
        <v>0.25894653138953</v>
      </c>
    </row>
    <row r="49" spans="1:13">
      <c r="A49" t="s">
        <v>686</v>
      </c>
      <c r="B49" t="s">
        <v>688</v>
      </c>
      <c r="C49" s="72">
        <v>2.2588759442238566</v>
      </c>
      <c r="D49" s="72">
        <v>0.83874756004904993</v>
      </c>
      <c r="E49" s="72">
        <v>0.28878098094577415</v>
      </c>
      <c r="F49" s="72">
        <v>1.1691576433105002</v>
      </c>
      <c r="G49" s="73">
        <v>1.3755829469180736</v>
      </c>
      <c r="H49" s="73">
        <v>1.0346449653292566</v>
      </c>
      <c r="I49" s="73">
        <v>0.88543460983522848</v>
      </c>
      <c r="J49" s="73">
        <v>0.66597980386918465</v>
      </c>
      <c r="K49" s="73">
        <v>0.64759296852558501</v>
      </c>
      <c r="L49" s="73">
        <v>0.48708716982046846</v>
      </c>
      <c r="M49" s="72">
        <v>0.26114107990822627</v>
      </c>
    </row>
    <row r="50" spans="1:13" ht="15" thickBot="1">
      <c r="A50" t="s">
        <v>686</v>
      </c>
      <c r="B50" s="23" t="s">
        <v>689</v>
      </c>
      <c r="C50" s="72"/>
      <c r="D50" s="72"/>
      <c r="E50" s="72"/>
      <c r="F50" s="72"/>
      <c r="G50" s="73"/>
      <c r="H50" s="73"/>
      <c r="I50" s="73"/>
      <c r="J50" s="73"/>
      <c r="K50" s="73"/>
      <c r="L50" s="73"/>
      <c r="M50" s="72"/>
    </row>
    <row r="51" spans="1:13" ht="15" thickBot="1">
      <c r="A51" t="s">
        <v>527</v>
      </c>
      <c r="B51" s="26" t="s">
        <v>164</v>
      </c>
      <c r="C51" s="72">
        <v>1.9919845182451237</v>
      </c>
      <c r="D51" s="72">
        <v>0.79143675053346607</v>
      </c>
      <c r="E51" s="72">
        <v>0.1776104563446019</v>
      </c>
      <c r="F51" s="72">
        <v>1.2399139581639278</v>
      </c>
      <c r="G51" s="73">
        <v>1.5312233227327652</v>
      </c>
      <c r="H51" s="73">
        <v>1.0475103947203688</v>
      </c>
      <c r="I51" s="73">
        <v>1.0540749753227354</v>
      </c>
      <c r="J51" s="73">
        <v>0.72109304833118892</v>
      </c>
      <c r="K51" s="73">
        <v>0.73225494826697513</v>
      </c>
      <c r="L51" s="73">
        <v>0.50093585860888157</v>
      </c>
      <c r="M51" s="72">
        <v>6.8877462847510507E-2</v>
      </c>
    </row>
    <row r="52" spans="1:13">
      <c r="C52" s="72"/>
      <c r="D52" s="72"/>
      <c r="E52" s="72"/>
      <c r="F52" s="72"/>
    </row>
  </sheetData>
  <mergeCells count="11">
    <mergeCell ref="G29:L29"/>
    <mergeCell ref="G1:K1"/>
    <mergeCell ref="L1:L2"/>
    <mergeCell ref="A24:B24"/>
    <mergeCell ref="A25:L25"/>
    <mergeCell ref="A1:A2"/>
    <mergeCell ref="B1:B2"/>
    <mergeCell ref="C1:C2"/>
    <mergeCell ref="D1:D2"/>
    <mergeCell ref="E1:E2"/>
    <mergeCell ref="F1: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0"/>
  <sheetViews>
    <sheetView workbookViewId="0">
      <selection activeCell="E2" sqref="E2"/>
    </sheetView>
  </sheetViews>
  <sheetFormatPr defaultRowHeight="14.4"/>
  <cols>
    <col min="2" max="2" width="20.44140625" bestFit="1" customWidth="1"/>
    <col min="3" max="3" width="40.6640625" customWidth="1"/>
    <col min="4" max="4" width="23.44140625" bestFit="1" customWidth="1"/>
    <col min="5" max="5" width="21.109375" bestFit="1" customWidth="1"/>
    <col min="6" max="6" width="15" bestFit="1" customWidth="1"/>
    <col min="7" max="7" width="14.44140625" customWidth="1"/>
    <col min="8" max="8" width="13.6640625" customWidth="1"/>
    <col min="9" max="9" width="75.6640625" customWidth="1"/>
    <col min="10" max="10" width="33.5546875" customWidth="1"/>
  </cols>
  <sheetData>
    <row r="1" spans="2:10" ht="28.8">
      <c r="B1" s="3" t="s">
        <v>716</v>
      </c>
      <c r="C1" s="3" t="s">
        <v>717</v>
      </c>
      <c r="D1" s="3" t="s">
        <v>718</v>
      </c>
      <c r="E1" s="3" t="s">
        <v>719</v>
      </c>
      <c r="F1" s="3" t="s">
        <v>720</v>
      </c>
      <c r="G1" s="3" t="s">
        <v>721</v>
      </c>
      <c r="H1" s="3" t="s">
        <v>722</v>
      </c>
      <c r="I1" s="9" t="s">
        <v>723</v>
      </c>
      <c r="J1" s="3" t="s">
        <v>724</v>
      </c>
    </row>
    <row r="2" spans="2:10" ht="28.8">
      <c r="B2" s="233" t="s">
        <v>725</v>
      </c>
      <c r="C2" s="235" t="s">
        <v>726</v>
      </c>
      <c r="D2" s="4" t="s">
        <v>727</v>
      </c>
      <c r="E2" s="4" t="s">
        <v>728</v>
      </c>
      <c r="F2" s="11" t="s">
        <v>729</v>
      </c>
      <c r="G2" s="11" t="s">
        <v>729</v>
      </c>
      <c r="H2" s="4"/>
      <c r="I2" s="5" t="s">
        <v>730</v>
      </c>
      <c r="J2" s="5"/>
    </row>
    <row r="3" spans="2:10" ht="28.8">
      <c r="B3" s="234"/>
      <c r="C3" s="236"/>
      <c r="D3" s="4" t="s">
        <v>731</v>
      </c>
      <c r="E3" s="4" t="s">
        <v>732</v>
      </c>
      <c r="F3" s="11" t="s">
        <v>729</v>
      </c>
      <c r="G3" s="8"/>
      <c r="H3" s="4"/>
      <c r="I3" s="5" t="s">
        <v>733</v>
      </c>
      <c r="J3" s="5"/>
    </row>
    <row r="4" spans="2:10" ht="28.8">
      <c r="B4" s="233" t="s">
        <v>734</v>
      </c>
      <c r="C4" s="235" t="s">
        <v>735</v>
      </c>
      <c r="D4" s="4" t="s">
        <v>736</v>
      </c>
      <c r="E4" s="4" t="s">
        <v>728</v>
      </c>
      <c r="F4" s="11" t="s">
        <v>729</v>
      </c>
      <c r="G4" s="11" t="s">
        <v>729</v>
      </c>
      <c r="H4" s="4"/>
      <c r="I4" s="5" t="s">
        <v>737</v>
      </c>
      <c r="J4" s="5"/>
    </row>
    <row r="5" spans="2:10" ht="28.8">
      <c r="B5" s="238"/>
      <c r="C5" s="237"/>
      <c r="D5" s="4" t="s">
        <v>738</v>
      </c>
      <c r="E5" s="4" t="s">
        <v>170</v>
      </c>
      <c r="F5" s="11" t="s">
        <v>729</v>
      </c>
      <c r="G5" s="11" t="s">
        <v>729</v>
      </c>
      <c r="H5" s="4"/>
      <c r="I5" s="5" t="s">
        <v>739</v>
      </c>
      <c r="J5" s="5"/>
    </row>
    <row r="6" spans="2:10" ht="28.8">
      <c r="B6" s="234"/>
      <c r="C6" s="236"/>
      <c r="D6" s="4" t="s">
        <v>740</v>
      </c>
      <c r="E6" s="4" t="s">
        <v>170</v>
      </c>
      <c r="F6" s="11" t="s">
        <v>729</v>
      </c>
      <c r="G6" s="11" t="s">
        <v>729</v>
      </c>
      <c r="H6" s="4"/>
      <c r="I6" s="5" t="s">
        <v>739</v>
      </c>
      <c r="J6" s="5"/>
    </row>
    <row r="7" spans="2:10" ht="28.8">
      <c r="B7" s="233" t="s">
        <v>741</v>
      </c>
      <c r="C7" s="235" t="s">
        <v>742</v>
      </c>
      <c r="D7" s="4" t="s">
        <v>727</v>
      </c>
      <c r="E7" s="4" t="s">
        <v>728</v>
      </c>
      <c r="F7" s="11" t="s">
        <v>729</v>
      </c>
      <c r="G7" s="11" t="s">
        <v>729</v>
      </c>
      <c r="H7" s="4"/>
      <c r="I7" s="5" t="s">
        <v>743</v>
      </c>
      <c r="J7" s="5"/>
    </row>
    <row r="8" spans="2:10" ht="28.8">
      <c r="B8" s="234"/>
      <c r="C8" s="236"/>
      <c r="D8" s="4" t="s">
        <v>731</v>
      </c>
      <c r="E8" s="4" t="s">
        <v>732</v>
      </c>
      <c r="F8" s="11" t="s">
        <v>729</v>
      </c>
      <c r="G8" s="8"/>
      <c r="H8" s="4"/>
      <c r="I8" s="5" t="s">
        <v>733</v>
      </c>
      <c r="J8" s="5"/>
    </row>
    <row r="9" spans="2:10" ht="28.8">
      <c r="B9" s="233" t="s">
        <v>744</v>
      </c>
      <c r="C9" s="235" t="s">
        <v>745</v>
      </c>
      <c r="D9" s="4" t="s">
        <v>727</v>
      </c>
      <c r="E9" s="4" t="s">
        <v>170</v>
      </c>
      <c r="F9" s="11" t="s">
        <v>729</v>
      </c>
      <c r="G9" s="11" t="s">
        <v>729</v>
      </c>
      <c r="H9" s="4"/>
      <c r="I9" s="5" t="s">
        <v>739</v>
      </c>
      <c r="J9" s="5"/>
    </row>
    <row r="10" spans="2:10" ht="45.75" customHeight="1">
      <c r="B10" s="234"/>
      <c r="C10" s="236"/>
      <c r="D10" s="4" t="s">
        <v>731</v>
      </c>
      <c r="E10" s="4" t="s">
        <v>746</v>
      </c>
      <c r="F10" s="11" t="s">
        <v>729</v>
      </c>
      <c r="G10" s="8"/>
      <c r="H10" s="4"/>
      <c r="I10" s="5" t="s">
        <v>747</v>
      </c>
      <c r="J10" s="5"/>
    </row>
    <row r="11" spans="2:10" ht="57.6">
      <c r="B11" s="6" t="s">
        <v>748</v>
      </c>
      <c r="C11" s="7" t="s">
        <v>749</v>
      </c>
      <c r="D11" s="4" t="s">
        <v>162</v>
      </c>
      <c r="E11" s="4" t="s">
        <v>748</v>
      </c>
      <c r="F11" s="11" t="s">
        <v>729</v>
      </c>
      <c r="G11" s="8"/>
      <c r="H11" s="4"/>
      <c r="I11" s="5" t="s">
        <v>750</v>
      </c>
      <c r="J11" s="5" t="s">
        <v>751</v>
      </c>
    </row>
    <row r="12" spans="2:10" ht="28.8">
      <c r="B12" s="233" t="s">
        <v>752</v>
      </c>
      <c r="C12" s="235" t="s">
        <v>753</v>
      </c>
      <c r="D12" s="4" t="s">
        <v>754</v>
      </c>
      <c r="E12" s="4" t="s">
        <v>732</v>
      </c>
      <c r="F12" s="11" t="s">
        <v>729</v>
      </c>
      <c r="G12" s="8"/>
      <c r="H12" s="4"/>
      <c r="I12" s="5" t="s">
        <v>733</v>
      </c>
      <c r="J12" s="5"/>
    </row>
    <row r="13" spans="2:10" ht="43.2">
      <c r="B13" s="234"/>
      <c r="C13" s="236"/>
      <c r="D13" s="4" t="s">
        <v>165</v>
      </c>
      <c r="E13" s="4" t="s">
        <v>165</v>
      </c>
      <c r="F13" s="11" t="s">
        <v>729</v>
      </c>
      <c r="G13" s="8"/>
      <c r="H13" s="4"/>
      <c r="I13" s="5" t="s">
        <v>755</v>
      </c>
      <c r="J13" s="5" t="s">
        <v>756</v>
      </c>
    </row>
    <row r="14" spans="2:10" ht="28.8">
      <c r="B14" s="233" t="s">
        <v>757</v>
      </c>
      <c r="C14" s="235" t="s">
        <v>758</v>
      </c>
      <c r="D14" s="4" t="s">
        <v>759</v>
      </c>
      <c r="E14" s="4" t="s">
        <v>170</v>
      </c>
      <c r="F14" s="11" t="s">
        <v>729</v>
      </c>
      <c r="G14" s="11" t="s">
        <v>729</v>
      </c>
      <c r="H14" s="4"/>
      <c r="I14" s="5" t="s">
        <v>739</v>
      </c>
      <c r="J14" s="5"/>
    </row>
    <row r="15" spans="2:10" ht="28.8">
      <c r="B15" s="234"/>
      <c r="C15" s="236"/>
      <c r="D15" s="4" t="s">
        <v>760</v>
      </c>
      <c r="E15" s="4" t="s">
        <v>676</v>
      </c>
      <c r="F15" s="4"/>
      <c r="G15" s="8"/>
      <c r="H15" s="10" t="s">
        <v>761</v>
      </c>
      <c r="I15" s="5" t="s">
        <v>762</v>
      </c>
      <c r="J15" s="5"/>
    </row>
    <row r="16" spans="2:10">
      <c r="B16" s="14"/>
      <c r="C16" s="14"/>
      <c r="D16" s="14"/>
      <c r="E16" s="14"/>
      <c r="F16" s="14"/>
      <c r="G16" s="14"/>
      <c r="H16" s="14"/>
      <c r="I16" s="15" t="s">
        <v>763</v>
      </c>
      <c r="J16" s="16"/>
    </row>
    <row r="17" spans="9:9">
      <c r="I17" s="17" t="s">
        <v>764</v>
      </c>
    </row>
    <row r="18" spans="9:9">
      <c r="I18" s="17" t="s">
        <v>765</v>
      </c>
    </row>
    <row r="19" spans="9:9">
      <c r="I19" s="17" t="s">
        <v>766</v>
      </c>
    </row>
    <row r="20" spans="9:9">
      <c r="I20" s="17" t="s">
        <v>767</v>
      </c>
    </row>
  </sheetData>
  <mergeCells count="12">
    <mergeCell ref="B14:B15"/>
    <mergeCell ref="C2:C3"/>
    <mergeCell ref="C4:C6"/>
    <mergeCell ref="C7:C8"/>
    <mergeCell ref="C9:C10"/>
    <mergeCell ref="C12:C13"/>
    <mergeCell ref="C14:C15"/>
    <mergeCell ref="B2:B3"/>
    <mergeCell ref="B4:B6"/>
    <mergeCell ref="B7:B8"/>
    <mergeCell ref="B9:B10"/>
    <mergeCell ref="B12:B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4"/>
  <sheetViews>
    <sheetView zoomScale="70" zoomScaleNormal="70" workbookViewId="0">
      <selection activeCell="H19" sqref="H19"/>
    </sheetView>
  </sheetViews>
  <sheetFormatPr defaultRowHeight="14.4"/>
  <cols>
    <col min="1" max="1" width="9.88671875" bestFit="1" customWidth="1"/>
    <col min="2" max="2" width="25.5546875" bestFit="1" customWidth="1"/>
    <col min="3" max="3" width="22.109375" customWidth="1"/>
    <col min="4" max="4" width="26.6640625" bestFit="1" customWidth="1"/>
    <col min="5" max="5" width="14.33203125" customWidth="1"/>
    <col min="6" max="6" width="13.5546875" customWidth="1"/>
    <col min="7" max="7" width="27.88671875" bestFit="1" customWidth="1"/>
    <col min="8" max="8" width="15.44140625" customWidth="1"/>
    <col min="9" max="9" width="25.6640625" customWidth="1"/>
    <col min="10" max="10" width="10" bestFit="1" customWidth="1"/>
    <col min="11" max="11" width="3" customWidth="1"/>
    <col min="13" max="13" width="3.6640625" customWidth="1"/>
    <col min="14" max="14" width="19.88671875" bestFit="1" customWidth="1"/>
    <col min="15" max="15" width="6.44140625" customWidth="1"/>
    <col min="16" max="16" width="28" bestFit="1" customWidth="1"/>
    <col min="17" max="17" width="12.5546875" customWidth="1"/>
  </cols>
  <sheetData>
    <row r="1" spans="1:19">
      <c r="A1" t="s">
        <v>768</v>
      </c>
    </row>
    <row r="2" spans="1:19" ht="46.8">
      <c r="A2" s="1" t="s">
        <v>769</v>
      </c>
      <c r="B2" s="2" t="s">
        <v>770</v>
      </c>
      <c r="C2" s="2" t="s">
        <v>771</v>
      </c>
      <c r="D2" t="s">
        <v>677</v>
      </c>
      <c r="E2" t="s">
        <v>678</v>
      </c>
      <c r="G2" s="2" t="s">
        <v>772</v>
      </c>
      <c r="H2" s="2" t="s">
        <v>773</v>
      </c>
      <c r="I2" s="2" t="s">
        <v>774</v>
      </c>
      <c r="J2" s="2" t="s">
        <v>113</v>
      </c>
      <c r="N2" s="2" t="s">
        <v>677</v>
      </c>
      <c r="O2" s="2"/>
      <c r="P2" s="2" t="s">
        <v>678</v>
      </c>
      <c r="Q2" s="2" t="s">
        <v>677</v>
      </c>
      <c r="S2" s="2" t="s">
        <v>775</v>
      </c>
    </row>
    <row r="3" spans="1:19">
      <c r="A3" t="s">
        <v>776</v>
      </c>
      <c r="B3" t="s">
        <v>777</v>
      </c>
      <c r="C3" t="s">
        <v>697</v>
      </c>
      <c r="G3" t="s">
        <v>581</v>
      </c>
      <c r="H3" t="s">
        <v>778</v>
      </c>
      <c r="I3" t="s">
        <v>589</v>
      </c>
      <c r="J3" t="s">
        <v>778</v>
      </c>
      <c r="L3" t="s">
        <v>115</v>
      </c>
      <c r="N3" s="12" t="s">
        <v>699</v>
      </c>
      <c r="O3" s="12"/>
      <c r="P3" s="12" t="s">
        <v>687</v>
      </c>
      <c r="Q3" s="12" t="s">
        <v>686</v>
      </c>
      <c r="S3" s="12" t="s">
        <v>118</v>
      </c>
    </row>
    <row r="4" spans="1:19">
      <c r="A4" t="s">
        <v>779</v>
      </c>
      <c r="B4" t="s">
        <v>780</v>
      </c>
      <c r="C4" t="s">
        <v>453</v>
      </c>
      <c r="D4" t="s">
        <v>492</v>
      </c>
      <c r="E4" t="s">
        <v>134</v>
      </c>
      <c r="G4" t="s">
        <v>578</v>
      </c>
      <c r="H4" t="s">
        <v>781</v>
      </c>
      <c r="I4" t="s">
        <v>598</v>
      </c>
      <c r="J4" t="s">
        <v>778</v>
      </c>
      <c r="L4" t="s">
        <v>121</v>
      </c>
      <c r="N4" s="12" t="s">
        <v>704</v>
      </c>
      <c r="O4" s="12"/>
      <c r="P4" s="12" t="s">
        <v>688</v>
      </c>
      <c r="Q4" s="12" t="s">
        <v>686</v>
      </c>
      <c r="S4" s="12" t="s">
        <v>782</v>
      </c>
    </row>
    <row r="5" spans="1:19">
      <c r="A5" t="s">
        <v>783</v>
      </c>
      <c r="B5" t="s">
        <v>669</v>
      </c>
      <c r="C5" t="s">
        <v>612</v>
      </c>
      <c r="D5" s="13" t="s">
        <v>500</v>
      </c>
      <c r="E5" s="13" t="s">
        <v>499</v>
      </c>
      <c r="G5" t="s">
        <v>574</v>
      </c>
      <c r="H5" t="s">
        <v>778</v>
      </c>
      <c r="I5" t="s">
        <v>611</v>
      </c>
      <c r="J5" t="s">
        <v>778</v>
      </c>
      <c r="L5" t="s">
        <v>784</v>
      </c>
      <c r="N5" s="12" t="s">
        <v>492</v>
      </c>
      <c r="O5" s="12"/>
      <c r="P5" s="12" t="s">
        <v>689</v>
      </c>
      <c r="Q5" s="12" t="s">
        <v>686</v>
      </c>
    </row>
    <row r="6" spans="1:19">
      <c r="A6" t="s">
        <v>785</v>
      </c>
      <c r="B6" t="s">
        <v>786</v>
      </c>
      <c r="C6" t="s">
        <v>637</v>
      </c>
      <c r="D6" t="s">
        <v>492</v>
      </c>
      <c r="E6" t="s">
        <v>134</v>
      </c>
      <c r="G6" t="s">
        <v>616</v>
      </c>
      <c r="H6" t="s">
        <v>781</v>
      </c>
      <c r="I6" t="s">
        <v>605</v>
      </c>
      <c r="J6" t="s">
        <v>778</v>
      </c>
      <c r="N6" s="12" t="s">
        <v>504</v>
      </c>
      <c r="O6" s="12"/>
      <c r="P6" s="12" t="s">
        <v>692</v>
      </c>
      <c r="Q6" s="12" t="s">
        <v>691</v>
      </c>
    </row>
    <row r="7" spans="1:19">
      <c r="A7" t="s">
        <v>787</v>
      </c>
      <c r="B7" t="s">
        <v>788</v>
      </c>
      <c r="C7" t="s">
        <v>789</v>
      </c>
      <c r="D7" s="13" t="s">
        <v>699</v>
      </c>
      <c r="E7" s="13" t="s">
        <v>701</v>
      </c>
      <c r="G7" t="s">
        <v>201</v>
      </c>
      <c r="H7" t="s">
        <v>778</v>
      </c>
      <c r="I7" t="s">
        <v>113</v>
      </c>
      <c r="J7" t="s">
        <v>781</v>
      </c>
      <c r="L7" t="s">
        <v>790</v>
      </c>
      <c r="N7" s="12" t="s">
        <v>509</v>
      </c>
      <c r="O7" s="12"/>
      <c r="P7" s="12" t="s">
        <v>694</v>
      </c>
      <c r="Q7" s="12" t="s">
        <v>693</v>
      </c>
    </row>
    <row r="8" spans="1:19">
      <c r="A8" t="s">
        <v>791</v>
      </c>
      <c r="B8" t="s">
        <v>792</v>
      </c>
      <c r="C8" t="s">
        <v>649</v>
      </c>
      <c r="D8" s="13" t="s">
        <v>504</v>
      </c>
      <c r="E8" t="s">
        <v>114</v>
      </c>
      <c r="G8" t="s">
        <v>165</v>
      </c>
      <c r="H8" t="s">
        <v>778</v>
      </c>
      <c r="L8" t="s">
        <v>121</v>
      </c>
      <c r="N8" s="12" t="s">
        <v>568</v>
      </c>
      <c r="O8" s="12"/>
      <c r="P8" s="12" t="s">
        <v>695</v>
      </c>
      <c r="Q8" s="12" t="s">
        <v>177</v>
      </c>
    </row>
    <row r="9" spans="1:19">
      <c r="A9" t="s">
        <v>793</v>
      </c>
      <c r="B9" t="s">
        <v>794</v>
      </c>
      <c r="C9" t="s">
        <v>639</v>
      </c>
      <c r="D9" s="12" t="s">
        <v>177</v>
      </c>
      <c r="E9" s="57" t="s">
        <v>177</v>
      </c>
      <c r="G9" t="s">
        <v>383</v>
      </c>
      <c r="H9" t="s">
        <v>781</v>
      </c>
      <c r="N9" s="12" t="s">
        <v>177</v>
      </c>
      <c r="O9" s="12"/>
      <c r="P9" s="12" t="s">
        <v>696</v>
      </c>
      <c r="Q9" s="12" t="s">
        <v>177</v>
      </c>
    </row>
    <row r="10" spans="1:19">
      <c r="A10" t="s">
        <v>795</v>
      </c>
      <c r="B10" t="s">
        <v>796</v>
      </c>
      <c r="C10" t="s">
        <v>797</v>
      </c>
      <c r="D10" t="s">
        <v>492</v>
      </c>
      <c r="E10" t="s">
        <v>134</v>
      </c>
      <c r="G10" t="s">
        <v>170</v>
      </c>
      <c r="H10" t="s">
        <v>781</v>
      </c>
      <c r="N10" s="12" t="s">
        <v>693</v>
      </c>
      <c r="O10" s="12"/>
      <c r="P10" s="12" t="s">
        <v>177</v>
      </c>
      <c r="Q10" s="12" t="s">
        <v>177</v>
      </c>
    </row>
    <row r="11" spans="1:19">
      <c r="A11" t="s">
        <v>798</v>
      </c>
      <c r="B11" t="s">
        <v>799</v>
      </c>
      <c r="C11" t="s">
        <v>661</v>
      </c>
      <c r="D11" s="13" t="s">
        <v>500</v>
      </c>
      <c r="E11" s="13" t="s">
        <v>499</v>
      </c>
      <c r="G11" t="s">
        <v>676</v>
      </c>
      <c r="H11" t="s">
        <v>781</v>
      </c>
      <c r="N11" s="12" t="s">
        <v>500</v>
      </c>
      <c r="O11" s="12"/>
      <c r="P11" s="12" t="s">
        <v>398</v>
      </c>
      <c r="Q11" s="12" t="s">
        <v>177</v>
      </c>
    </row>
    <row r="12" spans="1:19">
      <c r="A12" t="s">
        <v>800</v>
      </c>
      <c r="B12" t="s">
        <v>801</v>
      </c>
      <c r="C12" t="s">
        <v>645</v>
      </c>
      <c r="D12" s="13" t="s">
        <v>500</v>
      </c>
      <c r="E12" s="13" t="s">
        <v>499</v>
      </c>
      <c r="G12" t="s">
        <v>329</v>
      </c>
      <c r="H12" t="s">
        <v>781</v>
      </c>
      <c r="N12" s="12" t="s">
        <v>691</v>
      </c>
      <c r="O12" s="12"/>
      <c r="P12" s="12" t="s">
        <v>698</v>
      </c>
      <c r="Q12" s="12" t="s">
        <v>492</v>
      </c>
    </row>
    <row r="13" spans="1:19">
      <c r="A13" t="s">
        <v>802</v>
      </c>
      <c r="B13" t="s">
        <v>803</v>
      </c>
      <c r="C13" t="s">
        <v>328</v>
      </c>
      <c r="D13" s="12" t="s">
        <v>527</v>
      </c>
      <c r="E13" s="57" t="s">
        <v>164</v>
      </c>
      <c r="G13" t="s">
        <v>483</v>
      </c>
      <c r="H13" t="s">
        <v>778</v>
      </c>
      <c r="N13" s="12" t="s">
        <v>686</v>
      </c>
      <c r="O13" s="12"/>
      <c r="P13" s="12" t="s">
        <v>134</v>
      </c>
      <c r="Q13" s="12" t="s">
        <v>492</v>
      </c>
    </row>
    <row r="14" spans="1:19">
      <c r="A14" t="s">
        <v>804</v>
      </c>
      <c r="B14" t="s">
        <v>805</v>
      </c>
      <c r="C14" t="s">
        <v>163</v>
      </c>
      <c r="D14" s="12" t="s">
        <v>527</v>
      </c>
      <c r="E14" s="57" t="s">
        <v>164</v>
      </c>
      <c r="G14" t="s">
        <v>519</v>
      </c>
      <c r="H14" t="s">
        <v>781</v>
      </c>
      <c r="N14" s="12" t="s">
        <v>527</v>
      </c>
      <c r="O14" s="12"/>
      <c r="P14" s="12" t="s">
        <v>499</v>
      </c>
      <c r="Q14" s="12" t="s">
        <v>500</v>
      </c>
    </row>
    <row r="15" spans="1:19">
      <c r="A15" t="s">
        <v>806</v>
      </c>
      <c r="B15" t="s">
        <v>807</v>
      </c>
      <c r="C15" t="s">
        <v>641</v>
      </c>
      <c r="D15" t="s">
        <v>492</v>
      </c>
      <c r="E15" t="s">
        <v>134</v>
      </c>
      <c r="G15" t="s">
        <v>116</v>
      </c>
      <c r="H15" t="s">
        <v>778</v>
      </c>
      <c r="O15" s="12"/>
      <c r="P15" s="12" t="s">
        <v>700</v>
      </c>
      <c r="Q15" s="12" t="s">
        <v>699</v>
      </c>
    </row>
    <row r="16" spans="1:19">
      <c r="A16" t="s">
        <v>808</v>
      </c>
      <c r="B16" t="s">
        <v>433</v>
      </c>
      <c r="G16" t="s">
        <v>124</v>
      </c>
      <c r="H16" t="s">
        <v>778</v>
      </c>
      <c r="O16" s="12"/>
      <c r="P16" s="12" t="s">
        <v>701</v>
      </c>
      <c r="Q16" s="12" t="s">
        <v>699</v>
      </c>
    </row>
    <row r="17" spans="5:17">
      <c r="E17" s="13" t="s">
        <v>114</v>
      </c>
      <c r="G17" t="s">
        <v>141</v>
      </c>
      <c r="H17" t="s">
        <v>778</v>
      </c>
      <c r="O17" s="12"/>
      <c r="P17" s="12" t="s">
        <v>214</v>
      </c>
      <c r="Q17" s="12" t="s">
        <v>504</v>
      </c>
    </row>
    <row r="18" spans="5:17">
      <c r="G18" t="s">
        <v>434</v>
      </c>
      <c r="H18" t="s">
        <v>778</v>
      </c>
      <c r="O18" s="12"/>
      <c r="P18" s="12" t="s">
        <v>114</v>
      </c>
      <c r="Q18" s="12" t="s">
        <v>504</v>
      </c>
    </row>
    <row r="19" spans="5:17">
      <c r="O19" s="12"/>
      <c r="P19" s="12" t="s">
        <v>567</v>
      </c>
      <c r="Q19" s="12" t="s">
        <v>568</v>
      </c>
    </row>
    <row r="20" spans="5:17">
      <c r="O20" s="12"/>
      <c r="P20" s="12" t="s">
        <v>164</v>
      </c>
      <c r="Q20" s="12" t="s">
        <v>527</v>
      </c>
    </row>
    <row r="21" spans="5:17">
      <c r="O21" s="12"/>
      <c r="P21" s="12" t="s">
        <v>627</v>
      </c>
      <c r="Q21" s="12" t="s">
        <v>509</v>
      </c>
    </row>
    <row r="22" spans="5:17">
      <c r="O22" s="12"/>
      <c r="P22" s="12" t="s">
        <v>206</v>
      </c>
      <c r="Q22" s="12" t="s">
        <v>509</v>
      </c>
    </row>
    <row r="23" spans="5:17">
      <c r="O23" s="12"/>
      <c r="P23" s="12" t="s">
        <v>705</v>
      </c>
      <c r="Q23" s="12" t="s">
        <v>704</v>
      </c>
    </row>
    <row r="24" spans="5:17">
      <c r="P24" s="12"/>
    </row>
  </sheetData>
  <sortState xmlns:xlrd2="http://schemas.microsoft.com/office/spreadsheetml/2017/richdata2" ref="N3:N14">
    <sortCondition ref="N1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2F998-FF9F-4B1F-841F-9E3A4396B6EB}">
  <dimension ref="A1:C21"/>
  <sheetViews>
    <sheetView workbookViewId="0">
      <selection activeCell="B24" sqref="B24"/>
    </sheetView>
  </sheetViews>
  <sheetFormatPr defaultRowHeight="14.4"/>
  <cols>
    <col min="2" max="2" width="55.6640625" bestFit="1" customWidth="1"/>
    <col min="3" max="3" width="28.5546875" bestFit="1" customWidth="1"/>
  </cols>
  <sheetData>
    <row r="1" spans="1:3">
      <c r="A1" s="202">
        <v>44074</v>
      </c>
    </row>
    <row r="2" spans="1:3">
      <c r="A2" t="s">
        <v>809</v>
      </c>
    </row>
    <row r="3" spans="1:3">
      <c r="A3" t="s">
        <v>810</v>
      </c>
    </row>
    <row r="4" spans="1:3">
      <c r="A4" t="s">
        <v>811</v>
      </c>
    </row>
    <row r="5" spans="1:3">
      <c r="B5" s="4" t="s">
        <v>769</v>
      </c>
      <c r="C5" s="4" t="s">
        <v>812</v>
      </c>
    </row>
    <row r="6" spans="1:3">
      <c r="B6" t="s">
        <v>174</v>
      </c>
      <c r="C6" t="s">
        <v>813</v>
      </c>
    </row>
    <row r="7" spans="1:3">
      <c r="B7" t="s">
        <v>183</v>
      </c>
      <c r="C7" t="s">
        <v>813</v>
      </c>
    </row>
    <row r="8" spans="1:3">
      <c r="B8" t="s">
        <v>187</v>
      </c>
      <c r="C8" t="s">
        <v>813</v>
      </c>
    </row>
    <row r="9" spans="1:3">
      <c r="B9" t="s">
        <v>189</v>
      </c>
      <c r="C9" t="s">
        <v>813</v>
      </c>
    </row>
    <row r="10" spans="1:3">
      <c r="B10" s="155" t="s">
        <v>814</v>
      </c>
      <c r="C10" t="s">
        <v>815</v>
      </c>
    </row>
    <row r="11" spans="1:3">
      <c r="A11" t="s">
        <v>816</v>
      </c>
    </row>
    <row r="12" spans="1:3">
      <c r="B12" t="s">
        <v>817</v>
      </c>
    </row>
    <row r="13" spans="1:3">
      <c r="B13" t="s">
        <v>818</v>
      </c>
    </row>
    <row r="14" spans="1:3">
      <c r="B14" t="s">
        <v>819</v>
      </c>
    </row>
    <row r="15" spans="1:3">
      <c r="B15" t="s">
        <v>820</v>
      </c>
    </row>
    <row r="17" spans="1:2">
      <c r="A17" s="202">
        <v>44075</v>
      </c>
      <c r="B17" t="s">
        <v>821</v>
      </c>
    </row>
    <row r="19" spans="1:2">
      <c r="A19" s="202">
        <v>44084</v>
      </c>
      <c r="B19" t="s">
        <v>822</v>
      </c>
    </row>
    <row r="20" spans="1:2">
      <c r="B20" t="s">
        <v>823</v>
      </c>
    </row>
    <row r="21" spans="1:2">
      <c r="B21" t="s">
        <v>824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5396-0CD5-47AC-91F7-F19D52597E4A}">
  <sheetPr>
    <pageSetUpPr fitToPage="1"/>
  </sheetPr>
  <dimension ref="A1:S46"/>
  <sheetViews>
    <sheetView workbookViewId="0">
      <selection activeCell="C6" sqref="C6"/>
    </sheetView>
  </sheetViews>
  <sheetFormatPr defaultRowHeight="14.4"/>
  <cols>
    <col min="1" max="1" width="30.88671875" bestFit="1" customWidth="1"/>
    <col min="2" max="2" width="16.33203125" bestFit="1" customWidth="1"/>
    <col min="3" max="3" width="18" bestFit="1" customWidth="1"/>
    <col min="4" max="4" width="16.5546875" bestFit="1" customWidth="1"/>
    <col min="5" max="6" width="11.33203125" bestFit="1" customWidth="1"/>
    <col min="7" max="7" width="19.33203125" bestFit="1" customWidth="1"/>
    <col min="8" max="8" width="14.5546875" bestFit="1" customWidth="1"/>
    <col min="9" max="9" width="11.33203125" bestFit="1" customWidth="1"/>
    <col min="10" max="10" width="21.88671875" bestFit="1" customWidth="1"/>
    <col min="11" max="11" width="25.109375" bestFit="1" customWidth="1"/>
    <col min="12" max="12" width="26.88671875" bestFit="1" customWidth="1"/>
    <col min="13" max="13" width="10.5546875" bestFit="1" customWidth="1"/>
    <col min="14" max="14" width="24" bestFit="1" customWidth="1"/>
    <col min="15" max="15" width="7.33203125" bestFit="1" customWidth="1"/>
    <col min="16" max="16" width="27.44140625" bestFit="1" customWidth="1"/>
    <col min="17" max="17" width="15.88671875" bestFit="1" customWidth="1"/>
    <col min="18" max="18" width="14.5546875" bestFit="1" customWidth="1"/>
    <col min="19" max="19" width="11.33203125" bestFit="1" customWidth="1"/>
  </cols>
  <sheetData>
    <row r="1" spans="1:6" ht="15.6">
      <c r="A1" s="194" t="s">
        <v>825</v>
      </c>
    </row>
    <row r="2" spans="1:6">
      <c r="A2" s="198" t="s">
        <v>49</v>
      </c>
      <c r="B2" t="s">
        <v>826</v>
      </c>
    </row>
    <row r="4" spans="1:6" ht="43.2">
      <c r="A4" s="198" t="s">
        <v>827</v>
      </c>
      <c r="B4" s="195" t="s">
        <v>828</v>
      </c>
      <c r="C4" s="195" t="s">
        <v>829</v>
      </c>
      <c r="D4" s="195" t="s">
        <v>830</v>
      </c>
      <c r="E4" s="195" t="s">
        <v>831</v>
      </c>
      <c r="F4" s="195" t="s">
        <v>832</v>
      </c>
    </row>
    <row r="5" spans="1:6">
      <c r="A5" s="67"/>
      <c r="B5" s="196"/>
      <c r="C5" s="19"/>
      <c r="D5" s="19">
        <v>0</v>
      </c>
      <c r="E5" s="197"/>
      <c r="F5" s="19">
        <v>0</v>
      </c>
    </row>
    <row r="6" spans="1:6">
      <c r="A6" s="67" t="s">
        <v>492</v>
      </c>
      <c r="B6" s="196">
        <v>65.009785948593603</v>
      </c>
      <c r="C6" s="19">
        <v>164.01912710000008</v>
      </c>
      <c r="D6" s="19">
        <v>62.530774353366354</v>
      </c>
      <c r="E6" s="197">
        <v>448036.00732295</v>
      </c>
      <c r="F6" s="19">
        <v>31.160286651647048</v>
      </c>
    </row>
    <row r="7" spans="1:6">
      <c r="A7" s="67" t="s">
        <v>504</v>
      </c>
      <c r="B7" s="196">
        <v>42.778431999999995</v>
      </c>
      <c r="C7" s="19">
        <v>73.249345000000005</v>
      </c>
      <c r="D7" s="19">
        <v>35.987092239793256</v>
      </c>
      <c r="E7" s="197">
        <v>220315.3505</v>
      </c>
      <c r="F7" s="19">
        <v>11.166943531810681</v>
      </c>
    </row>
    <row r="8" spans="1:6">
      <c r="A8" s="67" t="s">
        <v>509</v>
      </c>
      <c r="B8" s="196">
        <v>17.909999999999997</v>
      </c>
      <c r="C8" s="19">
        <v>58.00004000000002</v>
      </c>
      <c r="D8" s="19">
        <v>12.494034364865762</v>
      </c>
      <c r="E8" s="197">
        <v>15704.651899999999</v>
      </c>
      <c r="F8" s="19">
        <v>4.1613505591579862</v>
      </c>
    </row>
    <row r="9" spans="1:6">
      <c r="A9" s="67" t="s">
        <v>177</v>
      </c>
      <c r="B9" s="196">
        <v>55.995162999999991</v>
      </c>
      <c r="C9" s="19">
        <v>344.71059500000013</v>
      </c>
      <c r="D9" s="19">
        <v>46.025648335325144</v>
      </c>
      <c r="E9" s="197">
        <v>150986.03696599999</v>
      </c>
      <c r="F9" s="19">
        <v>6.209481007744694</v>
      </c>
    </row>
    <row r="10" spans="1:6">
      <c r="A10" s="67" t="s">
        <v>527</v>
      </c>
      <c r="B10" s="196">
        <v>30.627503000000008</v>
      </c>
      <c r="C10" s="19">
        <v>311.58596</v>
      </c>
      <c r="D10" s="19">
        <v>23.300864039820031</v>
      </c>
      <c r="E10" s="197">
        <v>421353.28799999994</v>
      </c>
      <c r="F10" s="19">
        <v>7.1352666921064882</v>
      </c>
    </row>
    <row r="11" spans="1:6">
      <c r="A11" s="67" t="s">
        <v>568</v>
      </c>
      <c r="B11" s="196">
        <v>0.88</v>
      </c>
      <c r="C11" s="19">
        <v>0.15002000000000001</v>
      </c>
      <c r="D11" s="19">
        <v>0.63463867122384698</v>
      </c>
      <c r="E11" s="197">
        <v>297.76724999999999</v>
      </c>
      <c r="F11" s="19">
        <v>0.1754431262641957</v>
      </c>
    </row>
    <row r="12" spans="1:6">
      <c r="A12" s="67" t="s">
        <v>500</v>
      </c>
      <c r="B12" s="196">
        <v>66.630970000000005</v>
      </c>
      <c r="C12" s="19">
        <v>122.58299099999999</v>
      </c>
      <c r="D12" s="19">
        <v>51.962680099379767</v>
      </c>
      <c r="E12" s="197">
        <v>224447.83380000002</v>
      </c>
      <c r="F12" s="19">
        <v>12.792656349458312</v>
      </c>
    </row>
    <row r="13" spans="1:6">
      <c r="A13" s="67" t="s">
        <v>833</v>
      </c>
      <c r="B13" s="196">
        <v>279.83185394859362</v>
      </c>
      <c r="C13" s="19">
        <v>1074.2980781000001</v>
      </c>
      <c r="D13" s="19">
        <v>232.93573210377417</v>
      </c>
      <c r="E13" s="197">
        <v>1481140.93573895</v>
      </c>
      <c r="F13" s="19">
        <v>72.801427918189404</v>
      </c>
    </row>
    <row r="15" spans="1:6">
      <c r="A15" s="198" t="s">
        <v>49</v>
      </c>
      <c r="B15" t="s">
        <v>826</v>
      </c>
    </row>
    <row r="17" spans="1:9">
      <c r="A17" s="198" t="s">
        <v>834</v>
      </c>
      <c r="B17" s="198" t="s">
        <v>835</v>
      </c>
    </row>
    <row r="18" spans="1:9" ht="43.2">
      <c r="A18" s="198" t="s">
        <v>827</v>
      </c>
      <c r="B18" s="195" t="s">
        <v>214</v>
      </c>
      <c r="C18" s="195" t="s">
        <v>114</v>
      </c>
      <c r="D18" s="195" t="s">
        <v>206</v>
      </c>
      <c r="E18" s="195" t="s">
        <v>177</v>
      </c>
      <c r="F18" s="195" t="s">
        <v>398</v>
      </c>
      <c r="G18" s="195" t="s">
        <v>164</v>
      </c>
      <c r="H18" s="195" t="s">
        <v>134</v>
      </c>
      <c r="I18" s="195" t="s">
        <v>833</v>
      </c>
    </row>
    <row r="19" spans="1:9">
      <c r="A19" s="67" t="s">
        <v>578</v>
      </c>
      <c r="H19">
        <v>3</v>
      </c>
      <c r="I19">
        <v>3</v>
      </c>
    </row>
    <row r="20" spans="1:9">
      <c r="A20" s="67" t="s">
        <v>574</v>
      </c>
      <c r="H20">
        <v>3</v>
      </c>
      <c r="I20">
        <v>3</v>
      </c>
    </row>
    <row r="21" spans="1:9">
      <c r="A21" s="67" t="s">
        <v>141</v>
      </c>
      <c r="B21">
        <v>3</v>
      </c>
      <c r="D21">
        <v>1</v>
      </c>
      <c r="E21">
        <v>4</v>
      </c>
      <c r="F21">
        <v>2</v>
      </c>
      <c r="H21">
        <v>23</v>
      </c>
      <c r="I21">
        <v>33</v>
      </c>
    </row>
    <row r="22" spans="1:9">
      <c r="A22" s="67" t="s">
        <v>201</v>
      </c>
      <c r="B22">
        <v>2</v>
      </c>
      <c r="D22">
        <v>1</v>
      </c>
      <c r="H22">
        <v>2</v>
      </c>
      <c r="I22">
        <v>5</v>
      </c>
    </row>
    <row r="23" spans="1:9">
      <c r="A23" s="67" t="s">
        <v>528</v>
      </c>
      <c r="E23">
        <v>2</v>
      </c>
      <c r="G23">
        <v>5</v>
      </c>
      <c r="H23">
        <v>2</v>
      </c>
      <c r="I23">
        <v>9</v>
      </c>
    </row>
    <row r="24" spans="1:9">
      <c r="A24" s="67" t="s">
        <v>124</v>
      </c>
      <c r="B24">
        <v>19</v>
      </c>
      <c r="C24">
        <v>4</v>
      </c>
      <c r="D24">
        <v>6</v>
      </c>
      <c r="E24">
        <v>61</v>
      </c>
      <c r="F24">
        <v>16</v>
      </c>
      <c r="G24">
        <v>5</v>
      </c>
      <c r="H24">
        <v>38</v>
      </c>
      <c r="I24">
        <v>149</v>
      </c>
    </row>
    <row r="25" spans="1:9">
      <c r="A25" s="67" t="s">
        <v>165</v>
      </c>
      <c r="C25">
        <v>1</v>
      </c>
      <c r="E25">
        <v>1</v>
      </c>
      <c r="G25">
        <v>18</v>
      </c>
      <c r="H25">
        <v>9</v>
      </c>
      <c r="I25">
        <v>29</v>
      </c>
    </row>
    <row r="26" spans="1:9">
      <c r="A26" s="67" t="s">
        <v>519</v>
      </c>
      <c r="H26">
        <v>1</v>
      </c>
      <c r="I26">
        <v>1</v>
      </c>
    </row>
    <row r="27" spans="1:9">
      <c r="A27" s="67" t="s">
        <v>383</v>
      </c>
      <c r="B27">
        <v>1</v>
      </c>
      <c r="H27">
        <v>1</v>
      </c>
      <c r="I27">
        <v>2</v>
      </c>
    </row>
    <row r="28" spans="1:9">
      <c r="A28" s="67" t="s">
        <v>170</v>
      </c>
      <c r="B28">
        <v>3</v>
      </c>
      <c r="D28">
        <v>1</v>
      </c>
      <c r="G28">
        <v>1</v>
      </c>
      <c r="H28">
        <v>3</v>
      </c>
      <c r="I28">
        <v>8</v>
      </c>
    </row>
    <row r="29" spans="1:9">
      <c r="A29" s="67" t="s">
        <v>135</v>
      </c>
      <c r="H29">
        <v>1</v>
      </c>
      <c r="I29">
        <v>1</v>
      </c>
    </row>
    <row r="30" spans="1:9">
      <c r="A30" s="67" t="s">
        <v>329</v>
      </c>
      <c r="G30">
        <v>3</v>
      </c>
      <c r="H30">
        <v>3</v>
      </c>
      <c r="I30">
        <v>6</v>
      </c>
    </row>
    <row r="31" spans="1:9">
      <c r="A31" s="67" t="s">
        <v>483</v>
      </c>
      <c r="C31">
        <v>2</v>
      </c>
      <c r="H31">
        <v>2</v>
      </c>
      <c r="I31">
        <v>4</v>
      </c>
    </row>
    <row r="32" spans="1:9">
      <c r="A32" s="67" t="s">
        <v>434</v>
      </c>
      <c r="C32">
        <v>1</v>
      </c>
      <c r="I32">
        <v>1</v>
      </c>
    </row>
    <row r="33" spans="1:19">
      <c r="A33" s="67" t="s">
        <v>116</v>
      </c>
      <c r="C33">
        <v>1</v>
      </c>
      <c r="H33">
        <v>1</v>
      </c>
      <c r="I33">
        <v>2</v>
      </c>
    </row>
    <row r="34" spans="1:19">
      <c r="A34" s="67" t="s">
        <v>305</v>
      </c>
      <c r="H34">
        <v>1</v>
      </c>
      <c r="I34">
        <v>1</v>
      </c>
    </row>
    <row r="35" spans="1:19">
      <c r="A35" s="67" t="s">
        <v>833</v>
      </c>
      <c r="B35">
        <v>28</v>
      </c>
      <c r="C35">
        <v>9</v>
      </c>
      <c r="D35">
        <v>9</v>
      </c>
      <c r="E35">
        <v>68</v>
      </c>
      <c r="F35">
        <v>18</v>
      </c>
      <c r="G35">
        <v>32</v>
      </c>
      <c r="H35">
        <v>93</v>
      </c>
      <c r="I35">
        <v>257</v>
      </c>
    </row>
    <row r="36" spans="1:19">
      <c r="A36" s="198" t="s">
        <v>49</v>
      </c>
      <c r="B36" t="s">
        <v>826</v>
      </c>
    </row>
    <row r="37" spans="1:19">
      <c r="A37" s="67" t="s">
        <v>836</v>
      </c>
    </row>
    <row r="38" spans="1:19">
      <c r="A38" s="198" t="s">
        <v>834</v>
      </c>
      <c r="B38" s="198" t="s">
        <v>835</v>
      </c>
    </row>
    <row r="39" spans="1:19">
      <c r="A39" s="198" t="s">
        <v>827</v>
      </c>
      <c r="B39" t="s">
        <v>141</v>
      </c>
      <c r="C39" t="s">
        <v>201</v>
      </c>
      <c r="D39" t="s">
        <v>528</v>
      </c>
      <c r="E39" t="s">
        <v>124</v>
      </c>
      <c r="F39" t="s">
        <v>165</v>
      </c>
      <c r="G39" t="s">
        <v>383</v>
      </c>
      <c r="H39" t="s">
        <v>170</v>
      </c>
      <c r="I39" t="s">
        <v>135</v>
      </c>
      <c r="J39" t="s">
        <v>329</v>
      </c>
      <c r="K39" t="s">
        <v>483</v>
      </c>
      <c r="L39" t="s">
        <v>116</v>
      </c>
      <c r="M39" t="s">
        <v>305</v>
      </c>
      <c r="N39" t="s">
        <v>578</v>
      </c>
      <c r="O39" t="s">
        <v>837</v>
      </c>
      <c r="P39" t="s">
        <v>574</v>
      </c>
      <c r="Q39" t="s">
        <v>519</v>
      </c>
      <c r="R39" t="s">
        <v>434</v>
      </c>
      <c r="S39" t="s">
        <v>833</v>
      </c>
    </row>
    <row r="40" spans="1:19">
      <c r="A40" s="67" t="s">
        <v>171</v>
      </c>
      <c r="H40">
        <v>1</v>
      </c>
      <c r="S40">
        <v>1</v>
      </c>
    </row>
    <row r="41" spans="1:19">
      <c r="A41" s="67" t="s">
        <v>117</v>
      </c>
      <c r="B41">
        <v>3</v>
      </c>
      <c r="D41">
        <v>2</v>
      </c>
      <c r="E41">
        <v>6</v>
      </c>
      <c r="G41">
        <v>1</v>
      </c>
      <c r="H41">
        <v>3</v>
      </c>
      <c r="L41">
        <v>2</v>
      </c>
      <c r="N41">
        <v>1</v>
      </c>
      <c r="P41">
        <v>3</v>
      </c>
      <c r="S41">
        <v>21</v>
      </c>
    </row>
    <row r="42" spans="1:19">
      <c r="A42" s="67" t="s">
        <v>146</v>
      </c>
      <c r="B42">
        <v>6</v>
      </c>
      <c r="C42">
        <v>1</v>
      </c>
      <c r="D42">
        <v>3</v>
      </c>
      <c r="E42">
        <v>54</v>
      </c>
      <c r="F42">
        <v>6</v>
      </c>
      <c r="G42">
        <v>3</v>
      </c>
      <c r="H42">
        <v>1</v>
      </c>
      <c r="J42">
        <v>1</v>
      </c>
      <c r="K42">
        <v>3</v>
      </c>
      <c r="M42">
        <v>1</v>
      </c>
      <c r="R42">
        <v>1</v>
      </c>
      <c r="S42">
        <v>80</v>
      </c>
    </row>
    <row r="43" spans="1:19">
      <c r="A43" s="67" t="s">
        <v>241</v>
      </c>
      <c r="B43">
        <v>1</v>
      </c>
      <c r="E43">
        <v>8</v>
      </c>
      <c r="S43">
        <v>9</v>
      </c>
    </row>
    <row r="44" spans="1:19">
      <c r="A44" s="67" t="s">
        <v>136</v>
      </c>
      <c r="B44">
        <v>28</v>
      </c>
      <c r="C44">
        <v>4</v>
      </c>
      <c r="D44">
        <v>8</v>
      </c>
      <c r="E44">
        <v>85</v>
      </c>
      <c r="F44">
        <v>26</v>
      </c>
      <c r="H44">
        <v>3</v>
      </c>
      <c r="I44">
        <v>1</v>
      </c>
      <c r="J44">
        <v>6</v>
      </c>
      <c r="K44">
        <v>1</v>
      </c>
      <c r="L44">
        <v>1</v>
      </c>
      <c r="N44">
        <v>2</v>
      </c>
      <c r="Q44">
        <v>1</v>
      </c>
      <c r="S44">
        <v>166</v>
      </c>
    </row>
    <row r="45" spans="1:19">
      <c r="A45" s="67" t="s">
        <v>837</v>
      </c>
    </row>
    <row r="46" spans="1:19">
      <c r="A46" s="67" t="s">
        <v>833</v>
      </c>
      <c r="B46">
        <v>38</v>
      </c>
      <c r="C46">
        <v>5</v>
      </c>
      <c r="D46">
        <v>13</v>
      </c>
      <c r="E46">
        <v>153</v>
      </c>
      <c r="F46">
        <v>32</v>
      </c>
      <c r="G46">
        <v>4</v>
      </c>
      <c r="H46">
        <v>8</v>
      </c>
      <c r="I46">
        <v>1</v>
      </c>
      <c r="J46">
        <v>7</v>
      </c>
      <c r="K46">
        <v>4</v>
      </c>
      <c r="L46">
        <v>3</v>
      </c>
      <c r="M46">
        <v>1</v>
      </c>
      <c r="N46">
        <v>3</v>
      </c>
      <c r="P46">
        <v>3</v>
      </c>
      <c r="Q46">
        <v>1</v>
      </c>
      <c r="R46">
        <v>1</v>
      </c>
      <c r="S46">
        <v>277</v>
      </c>
    </row>
  </sheetData>
  <pageMargins left="0.7" right="0.7" top="0.75" bottom="0.75" header="0.3" footer="0.3"/>
  <pageSetup scale="84"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B3094-1D91-4AD1-A446-1E7267091462}">
  <sheetPr>
    <pageSetUpPr fitToPage="1"/>
  </sheetPr>
  <dimension ref="A1:L42"/>
  <sheetViews>
    <sheetView workbookViewId="0">
      <selection activeCell="A4" sqref="A4"/>
    </sheetView>
  </sheetViews>
  <sheetFormatPr defaultRowHeight="14.4"/>
  <cols>
    <col min="1" max="1" width="27.88671875" bestFit="1" customWidth="1"/>
    <col min="2" max="2" width="17.88671875" bestFit="1" customWidth="1"/>
    <col min="3" max="3" width="12" bestFit="1" customWidth="1"/>
    <col min="4" max="4" width="14.33203125" bestFit="1" customWidth="1"/>
    <col min="5" max="5" width="14.109375" bestFit="1" customWidth="1"/>
    <col min="6" max="6" width="11.33203125" bestFit="1" customWidth="1"/>
    <col min="7" max="7" width="13.88671875" bestFit="1" customWidth="1"/>
    <col min="8" max="8" width="13.44140625" bestFit="1" customWidth="1"/>
    <col min="9" max="9" width="11.33203125" bestFit="1" customWidth="1"/>
    <col min="10" max="10" width="25.109375" bestFit="1" customWidth="1"/>
    <col min="11" max="11" width="24" bestFit="1" customWidth="1"/>
    <col min="12" max="12" width="11.33203125" bestFit="1" customWidth="1"/>
    <col min="13" max="13" width="25.6640625" bestFit="1" customWidth="1"/>
    <col min="14" max="14" width="14.88671875" bestFit="1" customWidth="1"/>
    <col min="15" max="15" width="10.6640625" bestFit="1" customWidth="1"/>
    <col min="16" max="16" width="7" bestFit="1" customWidth="1"/>
    <col min="17" max="17" width="10.6640625" bestFit="1" customWidth="1"/>
  </cols>
  <sheetData>
    <row r="1" spans="1:6" ht="15.6">
      <c r="A1" s="194" t="s">
        <v>838</v>
      </c>
    </row>
    <row r="2" spans="1:6">
      <c r="A2" s="198" t="s">
        <v>49</v>
      </c>
      <c r="B2" t="s">
        <v>839</v>
      </c>
    </row>
    <row r="4" spans="1:6" ht="57.6">
      <c r="A4" s="198" t="s">
        <v>827</v>
      </c>
      <c r="B4" s="195" t="s">
        <v>828</v>
      </c>
      <c r="C4" s="195" t="s">
        <v>829</v>
      </c>
      <c r="D4" s="195" t="s">
        <v>830</v>
      </c>
      <c r="E4" s="195" t="s">
        <v>831</v>
      </c>
      <c r="F4" s="195" t="s">
        <v>832</v>
      </c>
    </row>
    <row r="5" spans="1:6">
      <c r="A5" s="67" t="s">
        <v>492</v>
      </c>
      <c r="B5" s="196">
        <v>25.419322999999995</v>
      </c>
      <c r="C5" s="19">
        <v>38.721985000000011</v>
      </c>
      <c r="D5" s="19">
        <v>23.455687622331098</v>
      </c>
      <c r="E5" s="197">
        <v>280527.74</v>
      </c>
      <c r="F5" s="19">
        <v>17.672353033529834</v>
      </c>
    </row>
    <row r="6" spans="1:6">
      <c r="A6" s="67" t="s">
        <v>504</v>
      </c>
      <c r="B6" s="196">
        <v>6.0794319999999997</v>
      </c>
      <c r="C6" s="19">
        <v>28.664335000000005</v>
      </c>
      <c r="D6" s="19">
        <v>4.3260788225250675</v>
      </c>
      <c r="E6" s="197">
        <v>43281.08</v>
      </c>
      <c r="F6" s="19">
        <v>2.2884845231127611</v>
      </c>
    </row>
    <row r="7" spans="1:6">
      <c r="A7" s="67" t="s">
        <v>509</v>
      </c>
      <c r="B7" s="196">
        <v>13.61</v>
      </c>
      <c r="C7" s="19">
        <v>0.20004000000000005</v>
      </c>
      <c r="D7" s="19">
        <v>9.1072880713637652</v>
      </c>
      <c r="E7" s="197">
        <v>4826.5</v>
      </c>
      <c r="F7" s="19">
        <v>3.5637737978434032</v>
      </c>
    </row>
    <row r="8" spans="1:6">
      <c r="A8" s="67" t="s">
        <v>177</v>
      </c>
      <c r="B8" s="196">
        <v>29.155163000000002</v>
      </c>
      <c r="C8" s="19">
        <v>232.17058900000004</v>
      </c>
      <c r="D8" s="19">
        <v>21.222938482526015</v>
      </c>
      <c r="E8" s="197">
        <v>122818.48185000003</v>
      </c>
      <c r="F8" s="19">
        <v>4.2535990287914576</v>
      </c>
    </row>
    <row r="9" spans="1:6">
      <c r="A9" s="67" t="s">
        <v>527</v>
      </c>
      <c r="B9" s="196">
        <v>7.162782</v>
      </c>
      <c r="C9" s="19">
        <v>187.76295099999999</v>
      </c>
      <c r="D9" s="19">
        <v>5.1650323069117698</v>
      </c>
      <c r="E9" s="197">
        <v>225553.68</v>
      </c>
      <c r="F9" s="19">
        <v>0.84353361133864646</v>
      </c>
    </row>
    <row r="10" spans="1:6">
      <c r="A10" s="67" t="s">
        <v>568</v>
      </c>
      <c r="B10" s="196">
        <v>0.53</v>
      </c>
      <c r="C10" s="19">
        <v>2.0000000000000002E-5</v>
      </c>
      <c r="D10" s="19">
        <v>0.34346640742059031</v>
      </c>
      <c r="E10" s="197"/>
      <c r="F10" s="19">
        <v>0.16829853963608926</v>
      </c>
    </row>
    <row r="11" spans="1:6">
      <c r="A11" s="67" t="s">
        <v>500</v>
      </c>
      <c r="B11" s="196">
        <v>65.950969999999984</v>
      </c>
      <c r="C11" s="19">
        <v>118.72299099999998</v>
      </c>
      <c r="D11" s="19">
        <v>51.296945359546626</v>
      </c>
      <c r="E11" s="197">
        <v>223854.84</v>
      </c>
      <c r="F11" s="19">
        <v>12.781580533675353</v>
      </c>
    </row>
    <row r="12" spans="1:6">
      <c r="A12" s="67" t="s">
        <v>833</v>
      </c>
      <c r="B12" s="196">
        <v>147.90766999999997</v>
      </c>
      <c r="C12" s="19">
        <v>606.24291100000005</v>
      </c>
      <c r="D12" s="19">
        <v>114.91743707262494</v>
      </c>
      <c r="E12" s="197">
        <v>900862.32185000007</v>
      </c>
      <c r="F12" s="19">
        <v>41.571623067927547</v>
      </c>
    </row>
    <row r="14" spans="1:6">
      <c r="A14" s="67" t="s">
        <v>840</v>
      </c>
    </row>
    <row r="15" spans="1:6">
      <c r="A15" s="198" t="s">
        <v>49</v>
      </c>
      <c r="B15" t="s">
        <v>839</v>
      </c>
    </row>
    <row r="17" spans="1:9">
      <c r="A17" s="198" t="s">
        <v>834</v>
      </c>
      <c r="B17" s="198" t="s">
        <v>835</v>
      </c>
    </row>
    <row r="18" spans="1:9">
      <c r="A18" s="198" t="s">
        <v>827</v>
      </c>
      <c r="B18" t="s">
        <v>492</v>
      </c>
      <c r="C18" t="s">
        <v>504</v>
      </c>
      <c r="D18" t="s">
        <v>509</v>
      </c>
      <c r="E18" t="s">
        <v>568</v>
      </c>
      <c r="F18" t="s">
        <v>177</v>
      </c>
      <c r="G18" t="s">
        <v>500</v>
      </c>
      <c r="H18" t="s">
        <v>527</v>
      </c>
      <c r="I18" s="195" t="s">
        <v>833</v>
      </c>
    </row>
    <row r="19" spans="1:9">
      <c r="A19" s="67" t="s">
        <v>578</v>
      </c>
      <c r="B19">
        <v>2</v>
      </c>
      <c r="I19">
        <v>2</v>
      </c>
    </row>
    <row r="20" spans="1:9">
      <c r="A20" s="67" t="s">
        <v>141</v>
      </c>
      <c r="B20">
        <v>3</v>
      </c>
      <c r="D20">
        <v>4</v>
      </c>
      <c r="E20">
        <v>2</v>
      </c>
      <c r="F20">
        <v>2</v>
      </c>
      <c r="I20">
        <v>11</v>
      </c>
    </row>
    <row r="21" spans="1:9">
      <c r="A21" s="67" t="s">
        <v>201</v>
      </c>
      <c r="B21">
        <v>1</v>
      </c>
      <c r="D21">
        <v>1</v>
      </c>
      <c r="I21">
        <v>2</v>
      </c>
    </row>
    <row r="22" spans="1:9">
      <c r="A22" s="67" t="s">
        <v>528</v>
      </c>
      <c r="B22">
        <v>1</v>
      </c>
      <c r="F22">
        <v>2</v>
      </c>
      <c r="G22">
        <v>4</v>
      </c>
      <c r="H22">
        <v>3</v>
      </c>
      <c r="I22">
        <v>10</v>
      </c>
    </row>
    <row r="23" spans="1:9">
      <c r="A23" s="67" t="s">
        <v>124</v>
      </c>
      <c r="B23">
        <v>1</v>
      </c>
      <c r="F23">
        <v>21</v>
      </c>
      <c r="I23">
        <v>22</v>
      </c>
    </row>
    <row r="24" spans="1:9">
      <c r="A24" s="67" t="s">
        <v>165</v>
      </c>
      <c r="C24">
        <v>1</v>
      </c>
      <c r="F24">
        <v>1</v>
      </c>
      <c r="G24">
        <v>3</v>
      </c>
      <c r="I24">
        <v>5</v>
      </c>
    </row>
    <row r="25" spans="1:9">
      <c r="A25" s="67" t="s">
        <v>383</v>
      </c>
      <c r="B25">
        <v>1</v>
      </c>
      <c r="G25">
        <v>2</v>
      </c>
      <c r="I25">
        <v>3</v>
      </c>
    </row>
    <row r="26" spans="1:9">
      <c r="A26" s="67" t="s">
        <v>170</v>
      </c>
      <c r="B26">
        <v>1</v>
      </c>
      <c r="C26">
        <v>1</v>
      </c>
      <c r="H26">
        <v>1</v>
      </c>
      <c r="I26">
        <v>3</v>
      </c>
    </row>
    <row r="27" spans="1:9">
      <c r="A27" s="67" t="s">
        <v>329</v>
      </c>
      <c r="G27">
        <v>1</v>
      </c>
      <c r="I27">
        <v>1</v>
      </c>
    </row>
    <row r="28" spans="1:9">
      <c r="A28" s="67" t="s">
        <v>483</v>
      </c>
      <c r="C28">
        <v>2</v>
      </c>
      <c r="I28">
        <v>2</v>
      </c>
    </row>
    <row r="29" spans="1:9">
      <c r="A29" s="67" t="s">
        <v>833</v>
      </c>
      <c r="B29">
        <v>10</v>
      </c>
      <c r="C29">
        <v>4</v>
      </c>
      <c r="D29">
        <v>5</v>
      </c>
      <c r="E29">
        <v>2</v>
      </c>
      <c r="F29">
        <v>26</v>
      </c>
      <c r="G29">
        <v>10</v>
      </c>
      <c r="H29">
        <v>4</v>
      </c>
      <c r="I29">
        <v>61</v>
      </c>
    </row>
    <row r="33" spans="1:12">
      <c r="A33" s="67"/>
    </row>
    <row r="34" spans="1:12">
      <c r="A34" s="67" t="s">
        <v>836</v>
      </c>
    </row>
    <row r="35" spans="1:12">
      <c r="A35" s="198" t="s">
        <v>49</v>
      </c>
      <c r="B35" t="s">
        <v>839</v>
      </c>
    </row>
    <row r="37" spans="1:12">
      <c r="A37" s="198" t="s">
        <v>834</v>
      </c>
      <c r="B37" s="198" t="s">
        <v>835</v>
      </c>
    </row>
    <row r="38" spans="1:12">
      <c r="A38" s="198" t="s">
        <v>827</v>
      </c>
      <c r="B38" t="s">
        <v>141</v>
      </c>
      <c r="C38" t="s">
        <v>201</v>
      </c>
      <c r="D38" t="s">
        <v>528</v>
      </c>
      <c r="E38" t="s">
        <v>124</v>
      </c>
      <c r="F38" t="s">
        <v>165</v>
      </c>
      <c r="G38" t="s">
        <v>383</v>
      </c>
      <c r="H38" t="s">
        <v>170</v>
      </c>
      <c r="I38" t="s">
        <v>329</v>
      </c>
      <c r="J38" t="s">
        <v>483</v>
      </c>
      <c r="K38" t="s">
        <v>578</v>
      </c>
      <c r="L38" t="s">
        <v>833</v>
      </c>
    </row>
    <row r="39" spans="1:12">
      <c r="A39" s="67" t="s">
        <v>117</v>
      </c>
      <c r="D39">
        <v>1</v>
      </c>
      <c r="L39">
        <v>1</v>
      </c>
    </row>
    <row r="40" spans="1:12">
      <c r="A40" s="67" t="s">
        <v>146</v>
      </c>
      <c r="B40">
        <v>3</v>
      </c>
      <c r="D40">
        <v>3</v>
      </c>
      <c r="F40">
        <v>3</v>
      </c>
      <c r="G40">
        <v>3</v>
      </c>
      <c r="J40">
        <v>1</v>
      </c>
      <c r="L40">
        <v>13</v>
      </c>
    </row>
    <row r="41" spans="1:12">
      <c r="A41" s="67" t="s">
        <v>136</v>
      </c>
      <c r="B41">
        <v>8</v>
      </c>
      <c r="C41">
        <v>2</v>
      </c>
      <c r="D41">
        <v>6</v>
      </c>
      <c r="E41">
        <v>22</v>
      </c>
      <c r="F41">
        <v>2</v>
      </c>
      <c r="H41">
        <v>3</v>
      </c>
      <c r="I41">
        <v>1</v>
      </c>
      <c r="J41">
        <v>1</v>
      </c>
      <c r="K41">
        <v>2</v>
      </c>
      <c r="L41">
        <v>47</v>
      </c>
    </row>
    <row r="42" spans="1:12">
      <c r="A42" s="67" t="s">
        <v>833</v>
      </c>
      <c r="B42">
        <v>11</v>
      </c>
      <c r="C42">
        <v>2</v>
      </c>
      <c r="D42">
        <v>10</v>
      </c>
      <c r="E42">
        <v>22</v>
      </c>
      <c r="F42">
        <v>5</v>
      </c>
      <c r="G42">
        <v>3</v>
      </c>
      <c r="H42">
        <v>3</v>
      </c>
      <c r="I42">
        <v>1</v>
      </c>
      <c r="J42">
        <v>2</v>
      </c>
      <c r="K42">
        <v>2</v>
      </c>
      <c r="L42">
        <v>61</v>
      </c>
    </row>
  </sheetData>
  <pageMargins left="0.7" right="0.7" top="0.75" bottom="0.75" header="0.3" footer="0.3"/>
  <pageSetup scale="84"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A8E9-DA80-4B5F-8C6B-9F3AF37FAEB6}">
  <sheetPr>
    <pageSetUpPr fitToPage="1"/>
  </sheetPr>
  <dimension ref="A1:P54"/>
  <sheetViews>
    <sheetView topLeftCell="A22" workbookViewId="0">
      <selection activeCell="K38" sqref="K38"/>
    </sheetView>
  </sheetViews>
  <sheetFormatPr defaultRowHeight="14.4"/>
  <cols>
    <col min="1" max="1" width="30.88671875" bestFit="1" customWidth="1"/>
    <col min="2" max="2" width="16.33203125" bestFit="1" customWidth="1"/>
    <col min="3" max="3" width="12" bestFit="1" customWidth="1"/>
    <col min="4" max="4" width="14.33203125" bestFit="1" customWidth="1"/>
    <col min="5" max="5" width="14.109375" bestFit="1" customWidth="1"/>
    <col min="6" max="6" width="11.33203125" bestFit="1" customWidth="1"/>
    <col min="7" max="7" width="13.88671875" bestFit="1" customWidth="1"/>
    <col min="8" max="8" width="13.44140625" bestFit="1" customWidth="1"/>
    <col min="9" max="9" width="11.33203125" bestFit="1" customWidth="1"/>
    <col min="10" max="10" width="21.88671875" bestFit="1" customWidth="1"/>
    <col min="11" max="11" width="25.109375" bestFit="1" customWidth="1"/>
    <col min="12" max="12" width="26.88671875" bestFit="1" customWidth="1"/>
    <col min="13" max="13" width="10.5546875" bestFit="1" customWidth="1"/>
    <col min="14" max="14" width="15.88671875" bestFit="1" customWidth="1"/>
    <col min="15" max="15" width="14.5546875" bestFit="1" customWidth="1"/>
    <col min="16" max="16" width="11.33203125" bestFit="1" customWidth="1"/>
    <col min="17" max="17" width="10.6640625" bestFit="1" customWidth="1"/>
  </cols>
  <sheetData>
    <row r="1" spans="1:6">
      <c r="A1" s="198" t="s">
        <v>49</v>
      </c>
      <c r="B1" t="s">
        <v>113</v>
      </c>
    </row>
    <row r="2" spans="1:6">
      <c r="A2" s="198" t="s">
        <v>51</v>
      </c>
      <c r="B2" s="67">
        <v>2022</v>
      </c>
    </row>
    <row r="4" spans="1:6" ht="57.6">
      <c r="A4" s="198" t="s">
        <v>827</v>
      </c>
      <c r="B4" s="195" t="s">
        <v>828</v>
      </c>
      <c r="C4" s="195" t="s">
        <v>829</v>
      </c>
      <c r="D4" s="195" t="s">
        <v>830</v>
      </c>
      <c r="E4" s="195" t="s">
        <v>831</v>
      </c>
      <c r="F4" s="195" t="s">
        <v>832</v>
      </c>
    </row>
    <row r="5" spans="1:6">
      <c r="A5" s="67" t="s">
        <v>206</v>
      </c>
      <c r="B5" s="196">
        <v>0.55000000000000004</v>
      </c>
      <c r="C5" s="19">
        <v>0.35000000000000003</v>
      </c>
      <c r="D5" s="19">
        <v>0.36455730052033142</v>
      </c>
      <c r="E5" s="197">
        <v>533.15190000000007</v>
      </c>
      <c r="F5" s="72">
        <v>1.1295934158816492E-2</v>
      </c>
    </row>
    <row r="6" spans="1:6">
      <c r="A6" s="67" t="s">
        <v>567</v>
      </c>
      <c r="B6" s="196">
        <v>0.35</v>
      </c>
      <c r="C6" s="19">
        <v>0.15</v>
      </c>
      <c r="D6" s="19">
        <v>0.29117226380325667</v>
      </c>
      <c r="E6" s="197">
        <v>297.76724999999999</v>
      </c>
      <c r="F6" s="206">
        <v>7.1445866281064233E-3</v>
      </c>
    </row>
    <row r="7" spans="1:6">
      <c r="A7" s="67" t="s">
        <v>164</v>
      </c>
      <c r="B7" s="196">
        <v>12.83855</v>
      </c>
      <c r="C7" s="19">
        <v>98.680363000000014</v>
      </c>
      <c r="D7" s="19">
        <v>9.9338752088487396</v>
      </c>
      <c r="E7" s="197">
        <v>161642.23999999999</v>
      </c>
      <c r="F7" s="19">
        <v>4.2396348837811164</v>
      </c>
    </row>
    <row r="8" spans="1:6">
      <c r="A8" s="67" t="s">
        <v>134</v>
      </c>
      <c r="B8" s="196">
        <v>1.8199999999999998</v>
      </c>
      <c r="C8" s="19">
        <v>0.36</v>
      </c>
      <c r="D8" s="19">
        <v>1.1953404298186026</v>
      </c>
      <c r="E8" s="197">
        <v>755.5</v>
      </c>
      <c r="F8" s="19">
        <v>0.89197158029566892</v>
      </c>
    </row>
    <row r="9" spans="1:6">
      <c r="A9" s="67" t="s">
        <v>833</v>
      </c>
      <c r="B9" s="196">
        <v>15.55855</v>
      </c>
      <c r="C9" s="19">
        <v>99.540363000000013</v>
      </c>
      <c r="D9" s="19">
        <v>11.784945202990929</v>
      </c>
      <c r="E9" s="197">
        <v>163228.65914999999</v>
      </c>
      <c r="F9" s="19">
        <v>5.1500469848637085</v>
      </c>
    </row>
    <row r="14" spans="1:6">
      <c r="A14" s="67"/>
      <c r="B14" s="196"/>
      <c r="C14" s="19"/>
      <c r="D14" s="19"/>
      <c r="E14" s="197"/>
      <c r="F14" s="19"/>
    </row>
    <row r="15" spans="1:6">
      <c r="A15" s="67"/>
      <c r="B15" s="196"/>
      <c r="C15" s="19"/>
      <c r="D15" s="19"/>
      <c r="E15" s="197"/>
      <c r="F15" s="19"/>
    </row>
    <row r="16" spans="1:6">
      <c r="A16" s="67"/>
      <c r="B16" s="196"/>
      <c r="C16" s="19"/>
      <c r="D16" s="19"/>
      <c r="E16" s="197"/>
      <c r="F16" s="19"/>
    </row>
    <row r="17" spans="1:9">
      <c r="A17" s="67"/>
      <c r="B17" s="196"/>
      <c r="C17" s="19"/>
      <c r="D17" s="19"/>
      <c r="E17" s="197"/>
      <c r="F17" s="19"/>
    </row>
    <row r="18" spans="1:9">
      <c r="A18" s="67"/>
      <c r="B18" s="196"/>
      <c r="C18" s="19"/>
      <c r="D18" s="19"/>
      <c r="E18" s="197"/>
      <c r="F18" s="19"/>
    </row>
    <row r="19" spans="1:9">
      <c r="A19" s="67"/>
      <c r="B19" s="196"/>
      <c r="C19" s="19"/>
      <c r="D19" s="19"/>
      <c r="E19" s="197"/>
      <c r="F19" s="19"/>
    </row>
    <row r="20" spans="1:9">
      <c r="A20" s="67"/>
      <c r="B20" s="196"/>
      <c r="C20" s="19"/>
      <c r="D20" s="19"/>
      <c r="E20" s="197"/>
      <c r="F20" s="19"/>
    </row>
    <row r="21" spans="1:9">
      <c r="A21" s="67"/>
      <c r="B21" s="196"/>
      <c r="C21" s="19"/>
      <c r="D21" s="19"/>
      <c r="E21" s="197"/>
      <c r="F21" s="19"/>
    </row>
    <row r="22" spans="1:9">
      <c r="A22" s="67"/>
      <c r="B22" s="196"/>
      <c r="C22" s="19"/>
      <c r="D22" s="19"/>
      <c r="E22" s="197"/>
      <c r="F22" s="19"/>
    </row>
    <row r="24" spans="1:9">
      <c r="A24" s="198" t="s">
        <v>49</v>
      </c>
      <c r="B24" t="s">
        <v>113</v>
      </c>
    </row>
    <row r="26" spans="1:9">
      <c r="A26" s="198" t="s">
        <v>834</v>
      </c>
      <c r="B26" s="198" t="s">
        <v>835</v>
      </c>
    </row>
    <row r="27" spans="1:9">
      <c r="A27" s="198" t="s">
        <v>827</v>
      </c>
      <c r="B27" t="s">
        <v>492</v>
      </c>
      <c r="C27" t="s">
        <v>504</v>
      </c>
      <c r="D27" t="s">
        <v>509</v>
      </c>
      <c r="E27" t="s">
        <v>568</v>
      </c>
      <c r="F27" t="s">
        <v>177</v>
      </c>
      <c r="G27" t="s">
        <v>500</v>
      </c>
      <c r="H27" t="s">
        <v>527</v>
      </c>
      <c r="I27" s="195" t="s">
        <v>833</v>
      </c>
    </row>
    <row r="28" spans="1:9">
      <c r="A28" s="67" t="s">
        <v>141</v>
      </c>
      <c r="B28">
        <v>20</v>
      </c>
      <c r="C28">
        <v>3</v>
      </c>
      <c r="F28">
        <v>4</v>
      </c>
      <c r="I28">
        <v>27</v>
      </c>
    </row>
    <row r="29" spans="1:9">
      <c r="A29" s="67" t="s">
        <v>201</v>
      </c>
      <c r="B29">
        <v>1</v>
      </c>
      <c r="C29">
        <v>2</v>
      </c>
      <c r="I29">
        <v>3</v>
      </c>
    </row>
    <row r="30" spans="1:9">
      <c r="A30" s="67" t="s">
        <v>528</v>
      </c>
      <c r="H30">
        <v>1</v>
      </c>
      <c r="I30">
        <v>1</v>
      </c>
    </row>
    <row r="31" spans="1:9">
      <c r="A31" s="67" t="s">
        <v>124</v>
      </c>
      <c r="B31">
        <v>36</v>
      </c>
      <c r="C31">
        <v>23</v>
      </c>
      <c r="D31">
        <v>6</v>
      </c>
      <c r="E31">
        <v>2</v>
      </c>
      <c r="F31">
        <v>43</v>
      </c>
      <c r="G31">
        <v>2</v>
      </c>
      <c r="H31">
        <v>5</v>
      </c>
      <c r="I31">
        <v>117</v>
      </c>
    </row>
    <row r="32" spans="1:9">
      <c r="A32" s="67" t="s">
        <v>165</v>
      </c>
      <c r="B32">
        <v>9</v>
      </c>
      <c r="H32">
        <v>18</v>
      </c>
      <c r="I32">
        <v>27</v>
      </c>
    </row>
    <row r="33" spans="1:16">
      <c r="A33" s="67" t="s">
        <v>519</v>
      </c>
      <c r="B33">
        <v>1</v>
      </c>
      <c r="I33">
        <v>1</v>
      </c>
    </row>
    <row r="34" spans="1:16">
      <c r="A34" s="67" t="s">
        <v>383</v>
      </c>
      <c r="C34">
        <v>1</v>
      </c>
      <c r="I34">
        <v>1</v>
      </c>
    </row>
    <row r="35" spans="1:16">
      <c r="A35" s="67" t="s">
        <v>170</v>
      </c>
      <c r="B35">
        <v>2</v>
      </c>
      <c r="C35">
        <v>2</v>
      </c>
      <c r="D35">
        <v>1</v>
      </c>
      <c r="I35">
        <v>5</v>
      </c>
    </row>
    <row r="36" spans="1:16">
      <c r="A36" s="67" t="s">
        <v>135</v>
      </c>
      <c r="B36">
        <v>1</v>
      </c>
      <c r="I36">
        <v>1</v>
      </c>
    </row>
    <row r="37" spans="1:16">
      <c r="A37" s="67" t="s">
        <v>329</v>
      </c>
      <c r="B37">
        <v>3</v>
      </c>
      <c r="H37">
        <v>3</v>
      </c>
      <c r="I37">
        <v>6</v>
      </c>
    </row>
    <row r="38" spans="1:16">
      <c r="A38" s="67" t="s">
        <v>483</v>
      </c>
      <c r="B38">
        <v>1</v>
      </c>
      <c r="I38">
        <v>1</v>
      </c>
    </row>
    <row r="39" spans="1:16">
      <c r="A39" s="67" t="s">
        <v>434</v>
      </c>
      <c r="C39">
        <v>1</v>
      </c>
      <c r="I39">
        <v>1</v>
      </c>
    </row>
    <row r="40" spans="1:16">
      <c r="A40" s="67" t="s">
        <v>116</v>
      </c>
      <c r="B40">
        <v>1</v>
      </c>
      <c r="C40">
        <v>1</v>
      </c>
      <c r="I40">
        <v>2</v>
      </c>
    </row>
    <row r="41" spans="1:16">
      <c r="A41" s="67" t="s">
        <v>305</v>
      </c>
      <c r="B41">
        <v>1</v>
      </c>
      <c r="I41">
        <v>1</v>
      </c>
    </row>
    <row r="42" spans="1:16">
      <c r="A42" s="67" t="s">
        <v>833</v>
      </c>
      <c r="B42">
        <v>76</v>
      </c>
      <c r="C42">
        <v>33</v>
      </c>
      <c r="D42">
        <v>7</v>
      </c>
      <c r="E42">
        <v>2</v>
      </c>
      <c r="F42">
        <v>47</v>
      </c>
      <c r="G42">
        <v>2</v>
      </c>
      <c r="H42">
        <v>27</v>
      </c>
      <c r="I42">
        <v>194</v>
      </c>
    </row>
    <row r="43" spans="1:16">
      <c r="A43" s="67"/>
    </row>
    <row r="44" spans="1:16">
      <c r="A44" s="67"/>
    </row>
    <row r="45" spans="1:16">
      <c r="A45" s="198" t="s">
        <v>49</v>
      </c>
      <c r="B45" t="s">
        <v>113</v>
      </c>
    </row>
    <row r="46" spans="1:16">
      <c r="A46" s="67" t="s">
        <v>836</v>
      </c>
    </row>
    <row r="47" spans="1:16">
      <c r="A47" s="198" t="s">
        <v>834</v>
      </c>
      <c r="B47" s="198" t="s">
        <v>835</v>
      </c>
    </row>
    <row r="48" spans="1:16">
      <c r="A48" s="198" t="s">
        <v>827</v>
      </c>
      <c r="B48" t="s">
        <v>141</v>
      </c>
      <c r="C48" t="s">
        <v>201</v>
      </c>
      <c r="D48" t="s">
        <v>528</v>
      </c>
      <c r="E48" t="s">
        <v>124</v>
      </c>
      <c r="F48" t="s">
        <v>165</v>
      </c>
      <c r="G48" t="s">
        <v>383</v>
      </c>
      <c r="H48" t="s">
        <v>170</v>
      </c>
      <c r="I48" t="s">
        <v>135</v>
      </c>
      <c r="J48" t="s">
        <v>329</v>
      </c>
      <c r="K48" t="s">
        <v>483</v>
      </c>
      <c r="L48" t="s">
        <v>116</v>
      </c>
      <c r="M48" t="s">
        <v>305</v>
      </c>
      <c r="N48" t="s">
        <v>519</v>
      </c>
      <c r="O48" t="s">
        <v>434</v>
      </c>
      <c r="P48" t="s">
        <v>833</v>
      </c>
    </row>
    <row r="49" spans="1:16">
      <c r="A49" s="67" t="s">
        <v>171</v>
      </c>
      <c r="H49">
        <v>1</v>
      </c>
      <c r="P49">
        <v>1</v>
      </c>
    </row>
    <row r="50" spans="1:16">
      <c r="A50" s="67" t="s">
        <v>117</v>
      </c>
      <c r="B50">
        <v>3</v>
      </c>
      <c r="E50">
        <v>6</v>
      </c>
      <c r="G50">
        <v>1</v>
      </c>
      <c r="H50">
        <v>3</v>
      </c>
      <c r="L50">
        <v>2</v>
      </c>
      <c r="P50">
        <v>15</v>
      </c>
    </row>
    <row r="51" spans="1:16">
      <c r="A51" s="67" t="s">
        <v>146</v>
      </c>
      <c r="B51">
        <v>3</v>
      </c>
      <c r="C51">
        <v>1</v>
      </c>
      <c r="E51">
        <v>53</v>
      </c>
      <c r="F51">
        <v>3</v>
      </c>
      <c r="H51">
        <v>1</v>
      </c>
      <c r="J51">
        <v>1</v>
      </c>
      <c r="K51">
        <v>1</v>
      </c>
      <c r="M51">
        <v>1</v>
      </c>
      <c r="O51">
        <v>1</v>
      </c>
      <c r="P51">
        <v>65</v>
      </c>
    </row>
    <row r="52" spans="1:16">
      <c r="A52" s="67" t="s">
        <v>241</v>
      </c>
      <c r="B52">
        <v>1</v>
      </c>
      <c r="E52">
        <v>8</v>
      </c>
      <c r="P52">
        <v>9</v>
      </c>
    </row>
    <row r="53" spans="1:16">
      <c r="A53" s="67" t="s">
        <v>136</v>
      </c>
      <c r="B53">
        <v>20</v>
      </c>
      <c r="C53">
        <v>2</v>
      </c>
      <c r="D53">
        <v>1</v>
      </c>
      <c r="E53">
        <v>50</v>
      </c>
      <c r="F53">
        <v>24</v>
      </c>
      <c r="I53">
        <v>1</v>
      </c>
      <c r="J53">
        <v>5</v>
      </c>
      <c r="N53">
        <v>1</v>
      </c>
      <c r="P53">
        <v>104</v>
      </c>
    </row>
    <row r="54" spans="1:16">
      <c r="A54" s="67" t="s">
        <v>833</v>
      </c>
      <c r="B54">
        <v>27</v>
      </c>
      <c r="C54">
        <v>3</v>
      </c>
      <c r="D54">
        <v>1</v>
      </c>
      <c r="E54">
        <v>117</v>
      </c>
      <c r="F54">
        <v>27</v>
      </c>
      <c r="G54">
        <v>1</v>
      </c>
      <c r="H54">
        <v>5</v>
      </c>
      <c r="I54">
        <v>1</v>
      </c>
      <c r="J54">
        <v>6</v>
      </c>
      <c r="K54">
        <v>1</v>
      </c>
      <c r="L54">
        <v>2</v>
      </c>
      <c r="M54">
        <v>1</v>
      </c>
      <c r="N54">
        <v>1</v>
      </c>
      <c r="O54">
        <v>1</v>
      </c>
      <c r="P54">
        <v>194</v>
      </c>
    </row>
  </sheetData>
  <pageMargins left="0.7" right="0.7" top="0.75" bottom="0.75" header="0.3" footer="0.3"/>
  <pageSetup scale="84"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08D3-A94C-47C8-965A-3DA15B473C2C}">
  <dimension ref="A1:AI52"/>
  <sheetViews>
    <sheetView zoomScale="85" zoomScaleNormal="85" workbookViewId="0">
      <selection activeCell="F23" sqref="F23"/>
    </sheetView>
  </sheetViews>
  <sheetFormatPr defaultRowHeight="14.4"/>
  <cols>
    <col min="1" max="1" width="15.88671875" customWidth="1"/>
    <col min="2" max="2" width="15.33203125" bestFit="1" customWidth="1"/>
    <col min="3" max="4" width="14.6640625" customWidth="1"/>
    <col min="5" max="5" width="10.33203125" customWidth="1"/>
    <col min="6" max="6" width="12.88671875" customWidth="1"/>
    <col min="7" max="7" width="11.6640625" customWidth="1"/>
    <col min="8" max="8" width="13.6640625" customWidth="1"/>
    <col min="9" max="9" width="15.5546875" customWidth="1"/>
    <col min="10" max="10" width="13.6640625" customWidth="1"/>
    <col min="11" max="13" width="15.6640625" customWidth="1"/>
    <col min="14" max="14" width="11.6640625" customWidth="1"/>
    <col min="15" max="15" width="16.6640625" customWidth="1"/>
    <col min="16" max="16" width="8.33203125" bestFit="1" customWidth="1"/>
    <col min="17" max="17" width="29" customWidth="1"/>
    <col min="18" max="31" width="10.6640625" hidden="1" customWidth="1"/>
    <col min="32" max="35" width="10.6640625" customWidth="1"/>
  </cols>
  <sheetData>
    <row r="1" spans="1:34">
      <c r="A1" s="192" t="s">
        <v>841</v>
      </c>
      <c r="H1" s="192" t="s">
        <v>842</v>
      </c>
      <c r="I1" s="192"/>
      <c r="J1" s="192"/>
      <c r="Q1" t="s">
        <v>843</v>
      </c>
    </row>
    <row r="2" spans="1:34">
      <c r="M2" s="191" t="s">
        <v>844</v>
      </c>
    </row>
    <row r="3" spans="1:34" ht="55.95" customHeight="1">
      <c r="A3" s="180" t="s">
        <v>677</v>
      </c>
      <c r="B3" s="180" t="s">
        <v>845</v>
      </c>
      <c r="C3" s="180" t="s">
        <v>846</v>
      </c>
      <c r="D3" s="180" t="s">
        <v>847</v>
      </c>
      <c r="E3" s="180" t="s">
        <v>848</v>
      </c>
      <c r="F3" s="180" t="s">
        <v>849</v>
      </c>
      <c r="H3" s="180" t="s">
        <v>677</v>
      </c>
      <c r="I3" s="180" t="s">
        <v>850</v>
      </c>
      <c r="J3" s="180" t="s">
        <v>851</v>
      </c>
      <c r="K3" s="180" t="s">
        <v>852</v>
      </c>
      <c r="L3" s="180" t="s">
        <v>853</v>
      </c>
      <c r="M3" s="180" t="s">
        <v>854</v>
      </c>
      <c r="N3" s="180" t="s">
        <v>855</v>
      </c>
      <c r="O3" s="180" t="s">
        <v>856</v>
      </c>
      <c r="Q3" s="199" t="s">
        <v>857</v>
      </c>
      <c r="R3" s="240" t="s">
        <v>177</v>
      </c>
      <c r="S3" s="241"/>
      <c r="T3" s="240" t="s">
        <v>492</v>
      </c>
      <c r="U3" s="241"/>
      <c r="V3" s="240" t="s">
        <v>500</v>
      </c>
      <c r="W3" s="241"/>
      <c r="X3" s="240" t="s">
        <v>504</v>
      </c>
      <c r="Y3" s="241"/>
      <c r="Z3" s="240" t="s">
        <v>568</v>
      </c>
      <c r="AA3" s="241"/>
      <c r="AB3" s="240" t="s">
        <v>527</v>
      </c>
      <c r="AC3" s="241"/>
      <c r="AD3" s="240" t="s">
        <v>509</v>
      </c>
      <c r="AE3" s="241"/>
    </row>
    <row r="4" spans="1:34">
      <c r="A4" s="188" t="s">
        <v>177</v>
      </c>
      <c r="B4" s="188">
        <f>SUMIF('Completed BMP Pivots'!$A$5:$A$10,'Report Tables'!A4,'Completed BMP Pivots'!$F$5:$F$10)</f>
        <v>0</v>
      </c>
      <c r="C4" s="188">
        <f>SUMIF('Planned BMP Pivots'!$A$5:$A$12,'Report Tables'!A4,'Planned BMP Pivots'!$F$5:$F$12)</f>
        <v>4.2535990287914576</v>
      </c>
      <c r="D4" s="188">
        <f t="shared" ref="D4:D10" si="0">SUM(B4:C4)</f>
        <v>4.2535990287914576</v>
      </c>
      <c r="E4" s="188">
        <v>245.4</v>
      </c>
      <c r="F4" s="187">
        <f t="shared" ref="F4:F11" si="1">(C4+B4)/E4</f>
        <v>1.7333329375678309E-2</v>
      </c>
      <c r="H4" s="188" t="s">
        <v>177</v>
      </c>
      <c r="I4" s="188">
        <f>SUMIF('Completed BMP Pivots'!$A$5:$A$10,'Report Tables'!H4,'Completed BMP Pivots'!$B$5:$B$10)</f>
        <v>0</v>
      </c>
      <c r="J4" s="188">
        <f>SUMIF('Completed BMP Pivots'!$A$5:$A$10,'Report Tables'!H4,'Completed BMP Pivots'!$C$5:$C$10)</f>
        <v>0</v>
      </c>
      <c r="K4" s="188">
        <f>SUMIF('Planned BMP Pivots'!$A$5:$A$12,'Report Tables'!$H$4,'Planned BMP Pivots'!B5:B12)</f>
        <v>29.155163000000002</v>
      </c>
      <c r="L4" s="188">
        <f>SUMIF('Planned BMP Pivots'!$A$5:$A$12,'Report Tables'!H4,'Planned BMP Pivots'!$C$5:$C$12)</f>
        <v>232.17058900000004</v>
      </c>
      <c r="M4" s="188">
        <v>1181.1980345162299</v>
      </c>
      <c r="N4" s="188">
        <v>3040.1604691031839</v>
      </c>
      <c r="O4" s="187">
        <f t="shared" ref="O4:O11" si="2">(SUM(I4,K4)/M4)</f>
        <v>2.4682705311087617E-2</v>
      </c>
      <c r="Q4" s="190" t="s">
        <v>858</v>
      </c>
      <c r="R4" s="190" t="s">
        <v>859</v>
      </c>
      <c r="S4" s="190" t="s">
        <v>860</v>
      </c>
      <c r="T4" s="190" t="s">
        <v>859</v>
      </c>
      <c r="U4" s="190" t="s">
        <v>860</v>
      </c>
      <c r="V4" s="190" t="s">
        <v>859</v>
      </c>
      <c r="W4" s="190" t="s">
        <v>860</v>
      </c>
      <c r="X4" s="190" t="s">
        <v>859</v>
      </c>
      <c r="Y4" s="190" t="s">
        <v>860</v>
      </c>
      <c r="Z4" s="190" t="s">
        <v>859</v>
      </c>
      <c r="AA4" s="190" t="s">
        <v>860</v>
      </c>
      <c r="AB4" s="190" t="s">
        <v>859</v>
      </c>
      <c r="AC4" s="190" t="s">
        <v>860</v>
      </c>
      <c r="AD4" s="190" t="s">
        <v>859</v>
      </c>
      <c r="AE4" s="190" t="s">
        <v>860</v>
      </c>
      <c r="AF4" s="190" t="s">
        <v>860</v>
      </c>
      <c r="AG4" s="190" t="s">
        <v>589</v>
      </c>
      <c r="AH4" s="190" t="s">
        <v>861</v>
      </c>
    </row>
    <row r="5" spans="1:34">
      <c r="A5" s="188" t="s">
        <v>492</v>
      </c>
      <c r="B5" s="188">
        <f>SUMIF('Completed BMP Pivots'!$A$5:$A$10,'Report Tables'!A5,'Completed BMP Pivots'!$F$5:$F$10)</f>
        <v>0</v>
      </c>
      <c r="C5" s="188">
        <f>SUMIF('Planned BMP Pivots'!$A$5:$A$12,'Report Tables'!A5,'Planned BMP Pivots'!$F$5:$F$12)</f>
        <v>17.672353033529834</v>
      </c>
      <c r="D5" s="188">
        <f t="shared" si="0"/>
        <v>17.672353033529834</v>
      </c>
      <c r="E5" s="188">
        <v>453.1</v>
      </c>
      <c r="F5" s="187">
        <f t="shared" si="1"/>
        <v>3.9003206871617374E-2</v>
      </c>
      <c r="H5" s="188" t="s">
        <v>492</v>
      </c>
      <c r="I5" s="188">
        <f>SUMIF('Completed BMP Pivots'!$A$5:$A$10,'Report Tables'!H5,'Completed BMP Pivots'!$B$5:$B$10)</f>
        <v>0</v>
      </c>
      <c r="J5" s="188">
        <f>SUMIF('Completed BMP Pivots'!$A$5:$A$10,'Report Tables'!H5,'Completed BMP Pivots'!$C$5:$C$10)</f>
        <v>0</v>
      </c>
      <c r="K5" s="188">
        <f>SUMIF('Planned BMP Pivots'!$A$5:$A$12,'Report Tables'!H5,'Planned BMP Pivots'!$B$5:$B$12)</f>
        <v>25.419322999999995</v>
      </c>
      <c r="L5" s="188">
        <f>SUMIF('Planned BMP Pivots'!$A$5:$A$12,'Report Tables'!H5,'Planned BMP Pivots'!$C$5:$C$12)</f>
        <v>38.721985000000011</v>
      </c>
      <c r="M5" s="188">
        <v>1645.1201742234027</v>
      </c>
      <c r="N5" s="188">
        <v>5053.6619045984962</v>
      </c>
      <c r="O5" s="187">
        <f t="shared" si="2"/>
        <v>1.545134720142829E-2</v>
      </c>
      <c r="P5" s="67"/>
      <c r="Q5" s="177" t="s">
        <v>578</v>
      </c>
      <c r="R5" s="184"/>
      <c r="S5" s="183"/>
      <c r="T5" s="184">
        <f>R27</f>
        <v>2</v>
      </c>
      <c r="U5" s="183"/>
      <c r="V5" s="184"/>
      <c r="W5" s="183"/>
      <c r="X5" s="184"/>
      <c r="Y5" s="183"/>
      <c r="Z5" s="184"/>
      <c r="AA5" s="183"/>
      <c r="AB5" s="184"/>
      <c r="AC5" s="183"/>
      <c r="AD5" s="184"/>
      <c r="AE5" s="183"/>
      <c r="AF5" s="177">
        <f t="shared" ref="AF5:AF20" si="3">S5+U5+W5+Y5+AA5+AC5+AE5</f>
        <v>0</v>
      </c>
      <c r="AG5" s="177">
        <f t="shared" ref="AG5:AG20" si="4">R5+T5+V5+X5+Z5+AB5+AD5</f>
        <v>2</v>
      </c>
      <c r="AH5" s="177">
        <f t="shared" ref="AH5:AH20" si="5">SUM(R5:AE5)</f>
        <v>2</v>
      </c>
    </row>
    <row r="6" spans="1:34">
      <c r="A6" s="188" t="s">
        <v>500</v>
      </c>
      <c r="B6" s="188">
        <f>SUMIF('Completed BMP Pivots'!$A$5:$A$10,'Report Tables'!A6,'Completed BMP Pivots'!$F$5:$F$10)</f>
        <v>0</v>
      </c>
      <c r="C6" s="188">
        <f>SUMIF('Planned BMP Pivots'!$A$5:$A$12,'Report Tables'!A6,'Planned BMP Pivots'!$F$5:$F$12)</f>
        <v>12.781580533675353</v>
      </c>
      <c r="D6" s="188">
        <f t="shared" si="0"/>
        <v>12.781580533675353</v>
      </c>
      <c r="E6" s="188">
        <v>33.799999999999997</v>
      </c>
      <c r="F6" s="187">
        <f t="shared" si="1"/>
        <v>0.37815327022708145</v>
      </c>
      <c r="H6" s="188" t="s">
        <v>500</v>
      </c>
      <c r="I6" s="188">
        <f>SUMIF('Completed BMP Pivots'!$A$5:$A$10,'Report Tables'!H6,'Completed BMP Pivots'!$B$5:$B$10)</f>
        <v>0</v>
      </c>
      <c r="J6" s="188">
        <f>SUMIF('Completed BMP Pivots'!$A$5:$A$10,'Report Tables'!H6,'Completed BMP Pivots'!$C$5:$C$10)</f>
        <v>0</v>
      </c>
      <c r="K6" s="188">
        <f>SUMIF('Planned BMP Pivots'!$A$5:$A$12,'Report Tables'!H6,'Planned BMP Pivots'!$B$5:$B$12)</f>
        <v>65.950969999999984</v>
      </c>
      <c r="L6" s="188">
        <f>SUMIF('Planned BMP Pivots'!$A$5:$A$12,'Report Tables'!H6,'Planned BMP Pivots'!$C$5:$C$12)</f>
        <v>118.72299099999998</v>
      </c>
      <c r="M6" s="188">
        <v>163.66476963274638</v>
      </c>
      <c r="N6" s="188">
        <v>378.0055112723752</v>
      </c>
      <c r="O6" s="187">
        <f t="shared" si="2"/>
        <v>0.40296375419089814</v>
      </c>
      <c r="P6" s="67"/>
      <c r="Q6" s="177" t="s">
        <v>141</v>
      </c>
      <c r="R6" s="184"/>
      <c r="S6" s="183">
        <f>U41</f>
        <v>3</v>
      </c>
      <c r="T6" s="184">
        <f>R28</f>
        <v>3</v>
      </c>
      <c r="U6" s="183">
        <f>R41</f>
        <v>17</v>
      </c>
      <c r="V6" s="184"/>
      <c r="W6" s="183"/>
      <c r="X6" s="184"/>
      <c r="Y6" s="183">
        <f>S41</f>
        <v>3</v>
      </c>
      <c r="Z6" s="184">
        <f>U28</f>
        <v>2</v>
      </c>
      <c r="AA6" s="183"/>
      <c r="AB6" s="184"/>
      <c r="AC6" s="183"/>
      <c r="AD6" s="184">
        <f>T28</f>
        <v>4</v>
      </c>
      <c r="AE6" s="183"/>
      <c r="AF6" s="177">
        <f t="shared" si="3"/>
        <v>23</v>
      </c>
      <c r="AG6" s="177">
        <f t="shared" si="4"/>
        <v>9</v>
      </c>
      <c r="AH6" s="177">
        <f t="shared" si="5"/>
        <v>32</v>
      </c>
    </row>
    <row r="7" spans="1:34">
      <c r="A7" s="188" t="s">
        <v>504</v>
      </c>
      <c r="B7" s="188">
        <f>SUMIF('Completed BMP Pivots'!$A$5:$A$10,'Report Tables'!A7,'Completed BMP Pivots'!$F$5:$F$10)</f>
        <v>0</v>
      </c>
      <c r="C7" s="188">
        <f>SUMIF('Planned BMP Pivots'!$A$5:$A$12,'Report Tables'!A7,'Planned BMP Pivots'!$F$5:$F$12)</f>
        <v>2.2884845231127611</v>
      </c>
      <c r="D7" s="188">
        <f t="shared" si="0"/>
        <v>2.2884845231127611</v>
      </c>
      <c r="E7" s="188">
        <v>244</v>
      </c>
      <c r="F7" s="187">
        <f t="shared" si="1"/>
        <v>9.3790349307900037E-3</v>
      </c>
      <c r="H7" s="188" t="s">
        <v>504</v>
      </c>
      <c r="I7" s="188">
        <f>SUMIF('Completed BMP Pivots'!$A$5:$A$10,'Report Tables'!H7,'Completed BMP Pivots'!$B$5:$B$10)</f>
        <v>0</v>
      </c>
      <c r="J7" s="188">
        <f>SUMIF('Completed BMP Pivots'!$A$5:$A$10,'Report Tables'!H7,'Completed BMP Pivots'!$C$5:$C$10)</f>
        <v>0</v>
      </c>
      <c r="K7" s="188">
        <f>SUMIF('Planned BMP Pivots'!$A$5:$A$12,'Report Tables'!H7,'Planned BMP Pivots'!$B$5:$B$12)</f>
        <v>6.0794319999999997</v>
      </c>
      <c r="L7" s="188">
        <f>SUMIF('Planned BMP Pivots'!$A$5:$A$12,'Report Tables'!H7,'Planned BMP Pivots'!$C$5:$C$12)</f>
        <v>28.664335000000005</v>
      </c>
      <c r="M7" s="188">
        <v>1013.4566236318417</v>
      </c>
      <c r="N7" s="188">
        <v>2746.9995865632109</v>
      </c>
      <c r="O7" s="187">
        <f t="shared" si="2"/>
        <v>5.998709622335523E-3</v>
      </c>
      <c r="P7" s="67"/>
      <c r="Q7" s="177" t="s">
        <v>201</v>
      </c>
      <c r="R7" s="184"/>
      <c r="S7" s="183"/>
      <c r="T7" s="184">
        <f>R29</f>
        <v>1</v>
      </c>
      <c r="U7" s="183">
        <f>R42</f>
        <v>1</v>
      </c>
      <c r="V7" s="184"/>
      <c r="W7" s="183"/>
      <c r="X7" s="184"/>
      <c r="Y7" s="183">
        <f>S42</f>
        <v>2</v>
      </c>
      <c r="Z7" s="184"/>
      <c r="AA7" s="183"/>
      <c r="AB7" s="184"/>
      <c r="AC7" s="183"/>
      <c r="AD7" s="184">
        <f>T29</f>
        <v>1</v>
      </c>
      <c r="AE7" s="183"/>
      <c r="AF7" s="177">
        <f t="shared" si="3"/>
        <v>3</v>
      </c>
      <c r="AG7" s="177">
        <f t="shared" si="4"/>
        <v>2</v>
      </c>
      <c r="AH7" s="177">
        <f t="shared" si="5"/>
        <v>5</v>
      </c>
    </row>
    <row r="8" spans="1:34">
      <c r="A8" s="188" t="s">
        <v>568</v>
      </c>
      <c r="B8" s="188">
        <f>SUMIF('Completed BMP Pivots'!$A$5:$A$10,'Report Tables'!A8,'Completed BMP Pivots'!$F$5:$F$10)</f>
        <v>0</v>
      </c>
      <c r="C8" s="188">
        <f>SUMIF('Planned BMP Pivots'!$A$5:$A$12,'Report Tables'!A8,'Planned BMP Pivots'!$F$5:$F$12)</f>
        <v>0.16829853963608926</v>
      </c>
      <c r="D8" s="188">
        <f t="shared" si="0"/>
        <v>0.16829853963608926</v>
      </c>
      <c r="E8" s="188">
        <v>13.6</v>
      </c>
      <c r="F8" s="187">
        <f t="shared" si="1"/>
        <v>1.2374892620300681E-2</v>
      </c>
      <c r="H8" s="188" t="s">
        <v>568</v>
      </c>
      <c r="I8" s="188">
        <f>SUMIF('Completed BMP Pivots'!$A$5:$A$10,'Report Tables'!H8,'Completed BMP Pivots'!$B$5:$B$10)</f>
        <v>0</v>
      </c>
      <c r="J8" s="188">
        <f>SUMIF('Completed BMP Pivots'!$A$5:$A$10,'Report Tables'!H8,'Completed BMP Pivots'!$C$5:$C$10)</f>
        <v>0</v>
      </c>
      <c r="K8" s="188">
        <f>SUMIF('Planned BMP Pivots'!$A$5:$A$12,'Report Tables'!H8,'Planned BMP Pivots'!$B$5:$B$12)</f>
        <v>0.53</v>
      </c>
      <c r="L8" s="188">
        <f>SUMIF('Planned BMP Pivots'!$A$5:$A$12,'Report Tables'!H8,'Planned BMP Pivots'!$C$5:$C$12)</f>
        <v>2.0000000000000002E-5</v>
      </c>
      <c r="M8" s="188">
        <v>159.51357129945922</v>
      </c>
      <c r="N8" s="188">
        <v>333.75584177339715</v>
      </c>
      <c r="O8" s="187">
        <f t="shared" si="2"/>
        <v>3.3226013039668986E-3</v>
      </c>
      <c r="P8" s="67"/>
      <c r="Q8" s="177" t="s">
        <v>581</v>
      </c>
      <c r="R8" s="184">
        <f>V30</f>
        <v>1</v>
      </c>
      <c r="S8" s="183"/>
      <c r="T8" s="184">
        <f>R30</f>
        <v>1</v>
      </c>
      <c r="U8" s="183">
        <f>R43</f>
        <v>34</v>
      </c>
      <c r="V8" s="184">
        <f>W30</f>
        <v>4</v>
      </c>
      <c r="W8" s="183"/>
      <c r="X8" s="184"/>
      <c r="Y8" s="183"/>
      <c r="Z8" s="184"/>
      <c r="AA8" s="183"/>
      <c r="AB8" s="184">
        <f>X30</f>
        <v>5</v>
      </c>
      <c r="AC8" s="183"/>
      <c r="AD8" s="184"/>
      <c r="AE8" s="183"/>
      <c r="AF8" s="177">
        <f t="shared" si="3"/>
        <v>34</v>
      </c>
      <c r="AG8" s="177">
        <f t="shared" si="4"/>
        <v>11</v>
      </c>
      <c r="AH8" s="177">
        <f t="shared" si="5"/>
        <v>45</v>
      </c>
    </row>
    <row r="9" spans="1:34">
      <c r="A9" s="188" t="s">
        <v>527</v>
      </c>
      <c r="B9" s="188">
        <f>SUMIF('Completed BMP Pivots'!$A$5:$A$10,'Report Tables'!A9,'Completed BMP Pivots'!$F$5:$F$10)</f>
        <v>0</v>
      </c>
      <c r="C9" s="188">
        <f>SUMIF('Planned BMP Pivots'!$A$5:$A$12,'Report Tables'!A9,'Planned BMP Pivots'!$F$5:$F$12)</f>
        <v>0.84353361133864646</v>
      </c>
      <c r="D9" s="188">
        <f t="shared" si="0"/>
        <v>0.84353361133864646</v>
      </c>
      <c r="E9" s="188">
        <v>48.8</v>
      </c>
      <c r="F9" s="187">
        <f t="shared" si="1"/>
        <v>1.7285524822513249E-2</v>
      </c>
      <c r="H9" s="188" t="s">
        <v>527</v>
      </c>
      <c r="I9" s="188">
        <f>SUMIF('Completed BMP Pivots'!$A$5:$A$10,'Report Tables'!H9,'Completed BMP Pivots'!$B$5:$B$10)</f>
        <v>0</v>
      </c>
      <c r="J9" s="188">
        <f>SUMIF('Completed BMP Pivots'!$A$5:$A$10,'Report Tables'!H9,'Completed BMP Pivots'!$C$5:$C$10)</f>
        <v>0</v>
      </c>
      <c r="K9" s="188">
        <f>SUMIF('Planned BMP Pivots'!$A$5:$A$12,'Report Tables'!H9,'Planned BMP Pivots'!$B$5:$B$12)</f>
        <v>7.162782</v>
      </c>
      <c r="L9" s="188">
        <f>SUMIF('Planned BMP Pivots'!$A$5:$A$12,'Report Tables'!H9,'Planned BMP Pivots'!$C$5:$C$12)</f>
        <v>187.76295099999999</v>
      </c>
      <c r="M9" s="188">
        <v>187.19753473913744</v>
      </c>
      <c r="N9" s="188">
        <v>525.45157771292031</v>
      </c>
      <c r="O9" s="187">
        <f t="shared" si="2"/>
        <v>3.8263228252345544E-2</v>
      </c>
      <c r="P9" s="67"/>
      <c r="Q9" s="177" t="s">
        <v>124</v>
      </c>
      <c r="R9" s="184"/>
      <c r="S9" s="183">
        <f>U43</f>
        <v>43</v>
      </c>
      <c r="T9" s="184">
        <f>R31</f>
        <v>1</v>
      </c>
      <c r="U9" s="183">
        <f>R44</f>
        <v>9</v>
      </c>
      <c r="V9" s="184"/>
      <c r="W9" s="183"/>
      <c r="X9" s="184"/>
      <c r="Y9" s="183">
        <f>S43</f>
        <v>23</v>
      </c>
      <c r="Z9" s="184">
        <f>U31</f>
        <v>2</v>
      </c>
      <c r="AA9" s="183"/>
      <c r="AB9" s="184"/>
      <c r="AC9" s="183">
        <f>V43</f>
        <v>5</v>
      </c>
      <c r="AD9" s="184">
        <f>T31</f>
        <v>6</v>
      </c>
      <c r="AE9" s="183">
        <f>T43</f>
        <v>1</v>
      </c>
      <c r="AF9" s="177">
        <f t="shared" si="3"/>
        <v>81</v>
      </c>
      <c r="AG9" s="177">
        <f t="shared" si="4"/>
        <v>9</v>
      </c>
      <c r="AH9" s="177">
        <f t="shared" si="5"/>
        <v>90</v>
      </c>
    </row>
    <row r="10" spans="1:34">
      <c r="A10" s="188" t="s">
        <v>509</v>
      </c>
      <c r="B10" s="188">
        <f>SUMIF('Completed BMP Pivots'!$A$5:$A$10,'Report Tables'!A10,'Completed BMP Pivots'!$F$5:$F$10)</f>
        <v>0</v>
      </c>
      <c r="C10" s="188">
        <f>SUMIF('Planned BMP Pivots'!$A$5:$A$12,'Report Tables'!A10,'Planned BMP Pivots'!$F$5:$F$12)</f>
        <v>3.5637737978434032</v>
      </c>
      <c r="D10" s="188">
        <f t="shared" si="0"/>
        <v>3.5637737978434032</v>
      </c>
      <c r="E10" s="188">
        <v>406</v>
      </c>
      <c r="F10" s="187">
        <f t="shared" si="1"/>
        <v>8.7777679749837523E-3</v>
      </c>
      <c r="H10" s="188" t="s">
        <v>509</v>
      </c>
      <c r="I10" s="188">
        <f>SUMIF('Completed BMP Pivots'!$A$5:$A$10,'Report Tables'!H10,'Completed BMP Pivots'!$B$5:$B$10)</f>
        <v>0</v>
      </c>
      <c r="J10" s="188">
        <f>SUMIF('Completed BMP Pivots'!$A$5:$A$10,'Report Tables'!H10,'Completed BMP Pivots'!$C$5:$C$10)</f>
        <v>0</v>
      </c>
      <c r="K10" s="188">
        <f>SUMIF('Planned BMP Pivots'!$A$5:$A$12,'Report Tables'!H10,'Planned BMP Pivots'!$B$5:$B$12)</f>
        <v>13.61</v>
      </c>
      <c r="L10" s="188">
        <f>SUMIF('Planned BMP Pivots'!$A$5:$A$12,'Report Tables'!H10,'Planned BMP Pivots'!$C$5:$C$12)</f>
        <v>0.20004000000000005</v>
      </c>
      <c r="M10" s="188">
        <v>910.13626032166462</v>
      </c>
      <c r="N10" s="188">
        <v>2286.971198558886</v>
      </c>
      <c r="O10" s="187">
        <f t="shared" si="2"/>
        <v>1.4953804823895149E-2</v>
      </c>
      <c r="P10" s="67"/>
      <c r="Q10" s="177" t="s">
        <v>165</v>
      </c>
      <c r="R10" s="184">
        <f>V32</f>
        <v>1</v>
      </c>
      <c r="S10" s="183"/>
      <c r="T10" s="184"/>
      <c r="U10" s="183"/>
      <c r="V10" s="184">
        <f>W32</f>
        <v>3</v>
      </c>
      <c r="W10" s="183"/>
      <c r="X10" s="184">
        <f>S32</f>
        <v>1</v>
      </c>
      <c r="Y10" s="183"/>
      <c r="Z10" s="184"/>
      <c r="AA10" s="183"/>
      <c r="AB10" s="184">
        <f>X32</f>
        <v>17</v>
      </c>
      <c r="AC10" s="183">
        <f>V44</f>
        <v>1</v>
      </c>
      <c r="AD10" s="184"/>
      <c r="AE10" s="183"/>
      <c r="AF10" s="177">
        <f t="shared" si="3"/>
        <v>1</v>
      </c>
      <c r="AG10" s="177">
        <f t="shared" si="4"/>
        <v>22</v>
      </c>
      <c r="AH10" s="177">
        <f t="shared" si="5"/>
        <v>23</v>
      </c>
    </row>
    <row r="11" spans="1:34">
      <c r="A11" s="176" t="s">
        <v>833</v>
      </c>
      <c r="B11" s="186">
        <f>SUM(B4:B10)</f>
        <v>0</v>
      </c>
      <c r="C11" s="186">
        <f t="shared" ref="C11:D11" si="6">SUM(C4:C10)</f>
        <v>41.571623067927554</v>
      </c>
      <c r="D11" s="186">
        <f t="shared" si="6"/>
        <v>41.571623067927554</v>
      </c>
      <c r="E11" s="186">
        <v>1444.7</v>
      </c>
      <c r="F11" s="185">
        <f t="shared" si="1"/>
        <v>2.8775263423497996E-2</v>
      </c>
      <c r="H11" s="176"/>
      <c r="I11" s="186">
        <f>SUM(I4:I10)</f>
        <v>0</v>
      </c>
      <c r="J11" s="186">
        <f t="shared" ref="J11:N11" si="7">SUM(J4:J10)</f>
        <v>0</v>
      </c>
      <c r="K11" s="186">
        <f t="shared" si="7"/>
        <v>147.90767</v>
      </c>
      <c r="L11" s="186">
        <f t="shared" si="7"/>
        <v>606.24291099999994</v>
      </c>
      <c r="M11" s="186">
        <f t="shared" si="7"/>
        <v>5260.2869683644813</v>
      </c>
      <c r="N11" s="186">
        <f t="shared" si="7"/>
        <v>14365.006089582466</v>
      </c>
      <c r="O11" s="185">
        <f t="shared" si="2"/>
        <v>2.8117794882583598E-2</v>
      </c>
      <c r="P11" s="67"/>
      <c r="Q11" s="177" t="s">
        <v>383</v>
      </c>
      <c r="R11" s="184"/>
      <c r="S11" s="183"/>
      <c r="T11" s="184"/>
      <c r="U11" s="183"/>
      <c r="V11" s="184"/>
      <c r="W11" s="183"/>
      <c r="X11" s="184"/>
      <c r="Y11" s="183">
        <f>S45</f>
        <v>1</v>
      </c>
      <c r="Z11" s="184"/>
      <c r="AA11" s="183"/>
      <c r="AB11" s="184"/>
      <c r="AC11" s="183"/>
      <c r="AD11" s="184"/>
      <c r="AE11" s="183"/>
      <c r="AF11" s="177">
        <f t="shared" si="3"/>
        <v>1</v>
      </c>
      <c r="AG11" s="177">
        <f t="shared" si="4"/>
        <v>0</v>
      </c>
      <c r="AH11" s="177">
        <f t="shared" si="5"/>
        <v>1</v>
      </c>
    </row>
    <row r="12" spans="1:34" ht="15" customHeight="1">
      <c r="H12" s="239" t="s">
        <v>862</v>
      </c>
      <c r="I12" s="239"/>
      <c r="J12" s="239"/>
      <c r="K12" s="239"/>
      <c r="L12" s="239"/>
      <c r="M12" s="239"/>
      <c r="N12" s="239"/>
      <c r="O12" s="239"/>
      <c r="P12" s="67"/>
      <c r="Q12" s="177" t="s">
        <v>170</v>
      </c>
      <c r="R12" s="184"/>
      <c r="S12" s="183"/>
      <c r="T12" s="184">
        <f>R33</f>
        <v>1</v>
      </c>
      <c r="U12" s="183">
        <f>R46</f>
        <v>2</v>
      </c>
      <c r="V12" s="184"/>
      <c r="W12" s="183"/>
      <c r="X12" s="184"/>
      <c r="Y12" s="183"/>
      <c r="Z12" s="184"/>
      <c r="AA12" s="183"/>
      <c r="AB12" s="184">
        <f>X33</f>
        <v>1</v>
      </c>
      <c r="AC12" s="183"/>
      <c r="AD12" s="184"/>
      <c r="AE12" s="183">
        <f>T46</f>
        <v>1</v>
      </c>
      <c r="AF12" s="177">
        <f t="shared" si="3"/>
        <v>3</v>
      </c>
      <c r="AG12" s="177">
        <f t="shared" si="4"/>
        <v>2</v>
      </c>
      <c r="AH12" s="177">
        <f t="shared" si="5"/>
        <v>5</v>
      </c>
    </row>
    <row r="13" spans="1:34">
      <c r="A13" s="67"/>
      <c r="P13" s="67"/>
      <c r="Q13" s="177" t="s">
        <v>863</v>
      </c>
      <c r="R13" s="184"/>
      <c r="S13" s="183"/>
      <c r="T13" s="184"/>
      <c r="U13" s="183"/>
      <c r="V13" s="184">
        <f>W34</f>
        <v>1</v>
      </c>
      <c r="W13" s="183"/>
      <c r="X13" s="184">
        <f>S34</f>
        <v>2</v>
      </c>
      <c r="Y13" s="183"/>
      <c r="Z13" s="184"/>
      <c r="AA13" s="183"/>
      <c r="AB13" s="184"/>
      <c r="AC13" s="183"/>
      <c r="AD13" s="184"/>
      <c r="AE13" s="183"/>
      <c r="AF13" s="177">
        <f t="shared" si="3"/>
        <v>0</v>
      </c>
      <c r="AG13" s="177">
        <f t="shared" si="4"/>
        <v>3</v>
      </c>
      <c r="AH13" s="177">
        <f t="shared" si="5"/>
        <v>3</v>
      </c>
    </row>
    <row r="14" spans="1:34">
      <c r="A14" s="67"/>
      <c r="P14" s="67"/>
      <c r="Q14" s="177" t="s">
        <v>135</v>
      </c>
      <c r="R14" s="184"/>
      <c r="S14" s="183"/>
      <c r="T14" s="184"/>
      <c r="U14" s="183">
        <f>R47</f>
        <v>1</v>
      </c>
      <c r="V14" s="184"/>
      <c r="W14" s="183"/>
      <c r="X14" s="184"/>
      <c r="Y14" s="183"/>
      <c r="Z14" s="184"/>
      <c r="AA14" s="183"/>
      <c r="AB14" s="184"/>
      <c r="AC14" s="183"/>
      <c r="AD14" s="184"/>
      <c r="AE14" s="183"/>
      <c r="AF14" s="177">
        <f t="shared" si="3"/>
        <v>1</v>
      </c>
      <c r="AG14" s="177">
        <f t="shared" si="4"/>
        <v>0</v>
      </c>
      <c r="AH14" s="177">
        <f t="shared" si="5"/>
        <v>1</v>
      </c>
    </row>
    <row r="15" spans="1:34">
      <c r="A15" s="67"/>
      <c r="I15" t="s">
        <v>864</v>
      </c>
      <c r="K15" s="174">
        <f>SUM(L11,J11)</f>
        <v>606.24291099999994</v>
      </c>
      <c r="P15" s="67"/>
      <c r="Q15" s="177" t="s">
        <v>329</v>
      </c>
      <c r="R15" s="184"/>
      <c r="S15" s="183"/>
      <c r="T15" s="184"/>
      <c r="U15" s="183">
        <f>R48</f>
        <v>3</v>
      </c>
      <c r="V15" s="184"/>
      <c r="W15" s="183"/>
      <c r="X15" s="184"/>
      <c r="Y15" s="183"/>
      <c r="Z15" s="184"/>
      <c r="AA15" s="183"/>
      <c r="AB15" s="184"/>
      <c r="AC15" s="183">
        <v>3</v>
      </c>
      <c r="AD15" s="184"/>
      <c r="AE15" s="183"/>
      <c r="AF15" s="177">
        <f t="shared" si="3"/>
        <v>6</v>
      </c>
      <c r="AG15" s="177">
        <f t="shared" si="4"/>
        <v>0</v>
      </c>
      <c r="AH15" s="177">
        <f t="shared" si="5"/>
        <v>6</v>
      </c>
    </row>
    <row r="16" spans="1:34">
      <c r="A16" s="67"/>
      <c r="I16" t="s">
        <v>865</v>
      </c>
      <c r="K16" s="174">
        <f>SUM(K11,I11)</f>
        <v>147.90767</v>
      </c>
      <c r="P16" s="67"/>
      <c r="Q16" s="177" t="s">
        <v>483</v>
      </c>
      <c r="R16" s="184"/>
      <c r="S16" s="183"/>
      <c r="T16" s="184"/>
      <c r="U16" s="183">
        <f>R49</f>
        <v>1</v>
      </c>
      <c r="V16" s="184"/>
      <c r="W16" s="183"/>
      <c r="X16" s="184"/>
      <c r="Y16" s="183"/>
      <c r="Z16" s="184"/>
      <c r="AA16" s="183"/>
      <c r="AB16" s="184"/>
      <c r="AC16" s="183"/>
      <c r="AD16" s="184"/>
      <c r="AE16" s="183"/>
      <c r="AF16" s="177">
        <f t="shared" si="3"/>
        <v>1</v>
      </c>
      <c r="AG16" s="177">
        <f t="shared" si="4"/>
        <v>0</v>
      </c>
      <c r="AH16" s="177">
        <f t="shared" si="5"/>
        <v>1</v>
      </c>
    </row>
    <row r="17" spans="1:35">
      <c r="A17" s="67"/>
      <c r="P17" s="67"/>
      <c r="Q17" s="177" t="s">
        <v>866</v>
      </c>
      <c r="R17" s="184"/>
      <c r="S17" s="183"/>
      <c r="T17" s="184">
        <f>R35</f>
        <v>1</v>
      </c>
      <c r="U17" s="183"/>
      <c r="V17" s="184">
        <f>W35</f>
        <v>2</v>
      </c>
      <c r="W17" s="183"/>
      <c r="X17" s="184"/>
      <c r="Y17" s="183"/>
      <c r="Z17" s="184"/>
      <c r="AA17" s="183"/>
      <c r="AB17" s="184"/>
      <c r="AC17" s="183"/>
      <c r="AD17" s="184"/>
      <c r="AE17" s="183"/>
      <c r="AF17" s="177">
        <f t="shared" si="3"/>
        <v>0</v>
      </c>
      <c r="AG17" s="177">
        <f t="shared" si="4"/>
        <v>3</v>
      </c>
      <c r="AH17" s="177">
        <f t="shared" si="5"/>
        <v>3</v>
      </c>
    </row>
    <row r="18" spans="1:35">
      <c r="A18" s="67"/>
      <c r="P18" s="67"/>
      <c r="Q18" s="177" t="s">
        <v>116</v>
      </c>
      <c r="R18" s="184"/>
      <c r="S18" s="183"/>
      <c r="T18" s="184"/>
      <c r="U18" s="183">
        <f>R50</f>
        <v>1</v>
      </c>
      <c r="V18" s="184">
        <f>W36</f>
        <v>1</v>
      </c>
      <c r="W18" s="183"/>
      <c r="X18" s="184"/>
      <c r="Y18" s="183">
        <f>S50</f>
        <v>1</v>
      </c>
      <c r="Z18" s="184"/>
      <c r="AA18" s="183"/>
      <c r="AB18" s="184"/>
      <c r="AC18" s="183"/>
      <c r="AD18" s="184"/>
      <c r="AE18" s="183"/>
      <c r="AF18" s="177">
        <f t="shared" si="3"/>
        <v>2</v>
      </c>
      <c r="AG18" s="177">
        <f t="shared" si="4"/>
        <v>1</v>
      </c>
      <c r="AH18" s="177">
        <f t="shared" si="5"/>
        <v>3</v>
      </c>
    </row>
    <row r="19" spans="1:35">
      <c r="A19" s="67"/>
      <c r="P19" s="67"/>
      <c r="Q19" s="177" t="s">
        <v>305</v>
      </c>
      <c r="R19" s="184"/>
      <c r="S19" s="183"/>
      <c r="T19" s="184"/>
      <c r="U19" s="183">
        <f>R51</f>
        <v>1</v>
      </c>
      <c r="V19" s="184"/>
      <c r="W19" s="183"/>
      <c r="X19" s="184"/>
      <c r="Y19" s="183"/>
      <c r="Z19" s="184"/>
      <c r="AA19" s="183"/>
      <c r="AB19" s="184"/>
      <c r="AC19" s="183"/>
      <c r="AD19" s="184"/>
      <c r="AE19" s="183"/>
      <c r="AF19" s="177">
        <f t="shared" si="3"/>
        <v>1</v>
      </c>
      <c r="AG19" s="177">
        <f t="shared" si="4"/>
        <v>0</v>
      </c>
      <c r="AH19" s="177">
        <f t="shared" si="5"/>
        <v>1</v>
      </c>
    </row>
    <row r="20" spans="1:35">
      <c r="A20" t="s">
        <v>867</v>
      </c>
      <c r="Q20" s="176" t="s">
        <v>868</v>
      </c>
      <c r="R20" s="182">
        <f t="shared" ref="R20:AE20" si="8">SUM(R5:R19)</f>
        <v>2</v>
      </c>
      <c r="S20" s="181">
        <f t="shared" si="8"/>
        <v>46</v>
      </c>
      <c r="T20" s="182">
        <f t="shared" si="8"/>
        <v>10</v>
      </c>
      <c r="U20" s="181">
        <f t="shared" si="8"/>
        <v>70</v>
      </c>
      <c r="V20" s="182">
        <f t="shared" si="8"/>
        <v>11</v>
      </c>
      <c r="W20" s="181">
        <f t="shared" si="8"/>
        <v>0</v>
      </c>
      <c r="X20" s="182">
        <f t="shared" si="8"/>
        <v>3</v>
      </c>
      <c r="Y20" s="181">
        <f t="shared" si="8"/>
        <v>30</v>
      </c>
      <c r="Z20" s="182">
        <f t="shared" si="8"/>
        <v>4</v>
      </c>
      <c r="AA20" s="181">
        <f t="shared" si="8"/>
        <v>0</v>
      </c>
      <c r="AB20" s="182">
        <f t="shared" si="8"/>
        <v>23</v>
      </c>
      <c r="AC20" s="181">
        <f t="shared" si="8"/>
        <v>9</v>
      </c>
      <c r="AD20" s="182">
        <f t="shared" si="8"/>
        <v>11</v>
      </c>
      <c r="AE20" s="181">
        <f t="shared" si="8"/>
        <v>2</v>
      </c>
      <c r="AF20" s="175">
        <f t="shared" si="3"/>
        <v>157</v>
      </c>
      <c r="AG20" s="175">
        <f t="shared" si="4"/>
        <v>64</v>
      </c>
      <c r="AH20" s="175">
        <f t="shared" si="5"/>
        <v>221</v>
      </c>
    </row>
    <row r="21" spans="1:35" ht="27">
      <c r="A21" s="180" t="s">
        <v>869</v>
      </c>
      <c r="B21" s="180" t="s">
        <v>870</v>
      </c>
      <c r="C21" t="s">
        <v>871</v>
      </c>
      <c r="AH21" s="171"/>
      <c r="AI21" s="171"/>
    </row>
    <row r="22" spans="1:35">
      <c r="A22" s="178" t="s">
        <v>171</v>
      </c>
      <c r="B22" s="177">
        <v>1</v>
      </c>
      <c r="C22" s="148">
        <f>(SUM(B22:B23))/B27</f>
        <v>7.9422382671480149E-2</v>
      </c>
      <c r="Q22" t="s">
        <v>872</v>
      </c>
    </row>
    <row r="23" spans="1:35">
      <c r="A23" s="178" t="s">
        <v>117</v>
      </c>
      <c r="B23" s="177">
        <v>21</v>
      </c>
      <c r="Q23" s="179" t="s">
        <v>135</v>
      </c>
      <c r="R23" s="179"/>
      <c r="S23" s="179"/>
      <c r="T23" s="179"/>
      <c r="U23" s="179"/>
      <c r="V23" s="179"/>
      <c r="W23" s="179"/>
      <c r="X23" s="179">
        <v>1</v>
      </c>
      <c r="Y23" s="179">
        <v>1</v>
      </c>
    </row>
    <row r="24" spans="1:35">
      <c r="A24" s="178" t="s">
        <v>146</v>
      </c>
      <c r="B24" s="177">
        <v>79</v>
      </c>
    </row>
    <row r="25" spans="1:35">
      <c r="A25" s="178" t="s">
        <v>241</v>
      </c>
      <c r="B25" s="177">
        <v>9</v>
      </c>
      <c r="Q25" t="s">
        <v>873</v>
      </c>
    </row>
    <row r="26" spans="1:35">
      <c r="A26" s="178" t="s">
        <v>136</v>
      </c>
      <c r="B26" s="177">
        <v>167</v>
      </c>
      <c r="Q26" s="173" t="s">
        <v>827</v>
      </c>
      <c r="R26" s="173" t="s">
        <v>492</v>
      </c>
      <c r="S26" s="173" t="s">
        <v>504</v>
      </c>
      <c r="T26" s="173" t="s">
        <v>509</v>
      </c>
      <c r="U26" s="173" t="s">
        <v>568</v>
      </c>
      <c r="V26" s="173" t="s">
        <v>177</v>
      </c>
      <c r="W26" s="173" t="s">
        <v>500</v>
      </c>
      <c r="X26" s="173" t="s">
        <v>527</v>
      </c>
    </row>
    <row r="27" spans="1:35">
      <c r="A27" s="176" t="s">
        <v>868</v>
      </c>
      <c r="B27" s="175">
        <f>SUM(B22:B26)</f>
        <v>277</v>
      </c>
      <c r="Q27" s="67" t="s">
        <v>578</v>
      </c>
      <c r="R27">
        <v>2</v>
      </c>
    </row>
    <row r="28" spans="1:35">
      <c r="Q28" s="67" t="s">
        <v>141</v>
      </c>
      <c r="R28">
        <v>3</v>
      </c>
      <c r="T28">
        <v>4</v>
      </c>
      <c r="U28">
        <v>2</v>
      </c>
    </row>
    <row r="29" spans="1:35">
      <c r="Q29" s="67" t="s">
        <v>201</v>
      </c>
      <c r="R29">
        <v>1</v>
      </c>
      <c r="T29">
        <v>1</v>
      </c>
    </row>
    <row r="30" spans="1:35">
      <c r="Q30" s="67" t="s">
        <v>581</v>
      </c>
      <c r="R30">
        <v>1</v>
      </c>
      <c r="V30">
        <v>1</v>
      </c>
      <c r="W30">
        <v>4</v>
      </c>
      <c r="X30">
        <v>5</v>
      </c>
    </row>
    <row r="31" spans="1:35">
      <c r="O31" s="174"/>
      <c r="Q31" s="67" t="s">
        <v>124</v>
      </c>
      <c r="R31">
        <v>1</v>
      </c>
      <c r="T31">
        <v>6</v>
      </c>
      <c r="U31">
        <v>2</v>
      </c>
    </row>
    <row r="32" spans="1:35">
      <c r="Q32" s="67" t="s">
        <v>165</v>
      </c>
      <c r="S32">
        <v>1</v>
      </c>
      <c r="V32">
        <v>1</v>
      </c>
      <c r="W32">
        <v>3</v>
      </c>
      <c r="X32">
        <v>17</v>
      </c>
    </row>
    <row r="33" spans="17:24">
      <c r="Q33" s="67" t="s">
        <v>170</v>
      </c>
      <c r="R33">
        <v>1</v>
      </c>
      <c r="X33">
        <v>1</v>
      </c>
    </row>
    <row r="34" spans="17:24">
      <c r="Q34" s="67" t="s">
        <v>863</v>
      </c>
      <c r="S34">
        <v>2</v>
      </c>
      <c r="W34">
        <v>1</v>
      </c>
    </row>
    <row r="35" spans="17:24">
      <c r="Q35" s="67" t="s">
        <v>866</v>
      </c>
      <c r="R35">
        <v>1</v>
      </c>
      <c r="W35">
        <v>2</v>
      </c>
    </row>
    <row r="36" spans="17:24">
      <c r="Q36" s="67" t="s">
        <v>116</v>
      </c>
      <c r="W36">
        <v>1</v>
      </c>
    </row>
    <row r="37" spans="17:24">
      <c r="Q37" s="170" t="s">
        <v>833</v>
      </c>
      <c r="R37" s="169">
        <v>10</v>
      </c>
      <c r="S37" s="169">
        <v>3</v>
      </c>
      <c r="T37" s="169">
        <v>11</v>
      </c>
      <c r="U37" s="169">
        <v>4</v>
      </c>
      <c r="V37" s="169">
        <v>2</v>
      </c>
      <c r="W37" s="169">
        <v>11</v>
      </c>
      <c r="X37" s="169">
        <v>23</v>
      </c>
    </row>
    <row r="39" spans="17:24">
      <c r="Q39" s="67" t="s">
        <v>874</v>
      </c>
    </row>
    <row r="40" spans="17:24" ht="28.8">
      <c r="Q40" s="173" t="s">
        <v>827</v>
      </c>
      <c r="R40" s="173" t="s">
        <v>492</v>
      </c>
      <c r="S40" s="173" t="s">
        <v>504</v>
      </c>
      <c r="T40" s="173" t="s">
        <v>509</v>
      </c>
      <c r="U40" s="173" t="s">
        <v>177</v>
      </c>
      <c r="V40" s="173" t="s">
        <v>527</v>
      </c>
      <c r="W40" s="172" t="s">
        <v>833</v>
      </c>
    </row>
    <row r="41" spans="17:24">
      <c r="Q41" s="67" t="s">
        <v>141</v>
      </c>
      <c r="R41">
        <v>17</v>
      </c>
      <c r="S41">
        <v>3</v>
      </c>
      <c r="U41">
        <v>3</v>
      </c>
      <c r="W41">
        <v>23</v>
      </c>
    </row>
    <row r="42" spans="17:24">
      <c r="Q42" s="67" t="s">
        <v>201</v>
      </c>
      <c r="R42">
        <v>1</v>
      </c>
      <c r="S42">
        <v>2</v>
      </c>
      <c r="W42">
        <v>3</v>
      </c>
    </row>
    <row r="43" spans="17:24">
      <c r="Q43" s="67" t="s">
        <v>124</v>
      </c>
      <c r="R43">
        <v>34</v>
      </c>
      <c r="S43">
        <v>23</v>
      </c>
      <c r="T43">
        <v>1</v>
      </c>
      <c r="U43">
        <v>43</v>
      </c>
      <c r="V43">
        <v>5</v>
      </c>
      <c r="W43">
        <v>106</v>
      </c>
    </row>
    <row r="44" spans="17:24">
      <c r="Q44" s="67" t="s">
        <v>165</v>
      </c>
      <c r="R44">
        <v>9</v>
      </c>
      <c r="V44">
        <v>1</v>
      </c>
      <c r="W44">
        <v>10</v>
      </c>
    </row>
    <row r="45" spans="17:24">
      <c r="Q45" s="67" t="s">
        <v>383</v>
      </c>
      <c r="S45">
        <v>1</v>
      </c>
      <c r="W45">
        <v>1</v>
      </c>
    </row>
    <row r="46" spans="17:24">
      <c r="Q46" s="67" t="s">
        <v>170</v>
      </c>
      <c r="R46">
        <v>2</v>
      </c>
      <c r="T46">
        <v>1</v>
      </c>
      <c r="W46">
        <v>3</v>
      </c>
    </row>
    <row r="47" spans="17:24">
      <c r="Q47" s="67" t="s">
        <v>135</v>
      </c>
      <c r="R47">
        <v>1</v>
      </c>
      <c r="W47">
        <v>1</v>
      </c>
    </row>
    <row r="48" spans="17:24">
      <c r="Q48" s="67" t="s">
        <v>329</v>
      </c>
      <c r="R48">
        <v>3</v>
      </c>
      <c r="V48" s="171">
        <f>AC15</f>
        <v>3</v>
      </c>
      <c r="W48">
        <v>6</v>
      </c>
    </row>
    <row r="49" spans="17:23">
      <c r="Q49" s="67" t="s">
        <v>483</v>
      </c>
      <c r="R49">
        <v>1</v>
      </c>
      <c r="W49">
        <v>1</v>
      </c>
    </row>
    <row r="50" spans="17:23">
      <c r="Q50" s="67" t="s">
        <v>116</v>
      </c>
      <c r="R50">
        <v>1</v>
      </c>
      <c r="S50">
        <v>1</v>
      </c>
      <c r="W50">
        <v>2</v>
      </c>
    </row>
    <row r="51" spans="17:23">
      <c r="Q51" s="67" t="s">
        <v>305</v>
      </c>
      <c r="R51">
        <v>1</v>
      </c>
      <c r="W51">
        <v>1</v>
      </c>
    </row>
    <row r="52" spans="17:23">
      <c r="Q52" s="170" t="s">
        <v>833</v>
      </c>
      <c r="R52" s="169">
        <v>70</v>
      </c>
      <c r="S52" s="169">
        <v>30</v>
      </c>
      <c r="T52" s="169">
        <v>2</v>
      </c>
      <c r="U52" s="169">
        <v>46</v>
      </c>
      <c r="V52" s="169">
        <v>9</v>
      </c>
      <c r="W52" s="169">
        <v>157</v>
      </c>
    </row>
  </sheetData>
  <mergeCells count="8">
    <mergeCell ref="H12:O12"/>
    <mergeCell ref="AD3:AE3"/>
    <mergeCell ref="R3:S3"/>
    <mergeCell ref="T3:U3"/>
    <mergeCell ref="V3:W3"/>
    <mergeCell ref="X3:Y3"/>
    <mergeCell ref="Z3:AA3"/>
    <mergeCell ref="AB3:AC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1AC76-14AD-4F8A-8054-45240569F50C}">
  <dimension ref="A1:M41"/>
  <sheetViews>
    <sheetView workbookViewId="0">
      <selection activeCell="H43" sqref="H43"/>
    </sheetView>
  </sheetViews>
  <sheetFormatPr defaultRowHeight="14.4"/>
  <cols>
    <col min="1" max="1" width="13.44140625" bestFit="1" customWidth="1"/>
    <col min="2" max="6" width="14.6640625" customWidth="1"/>
    <col min="8" max="8" width="14.33203125" customWidth="1"/>
    <col min="9" max="12" width="14.6640625" customWidth="1"/>
    <col min="13" max="13" width="9.88671875" customWidth="1"/>
    <col min="14" max="14" width="14.6640625" customWidth="1"/>
  </cols>
  <sheetData>
    <row r="1" spans="1:12">
      <c r="A1" s="192" t="s">
        <v>875</v>
      </c>
      <c r="H1" s="192" t="s">
        <v>876</v>
      </c>
    </row>
    <row r="2" spans="1:12" ht="53.4">
      <c r="A2" s="180" t="s">
        <v>677</v>
      </c>
      <c r="B2" s="180" t="s">
        <v>877</v>
      </c>
      <c r="C2" s="180" t="s">
        <v>878</v>
      </c>
      <c r="D2" s="180" t="s">
        <v>879</v>
      </c>
      <c r="E2" s="180" t="s">
        <v>880</v>
      </c>
      <c r="F2" s="180" t="s">
        <v>849</v>
      </c>
      <c r="H2" s="180" t="s">
        <v>677</v>
      </c>
      <c r="I2" s="180" t="s">
        <v>881</v>
      </c>
      <c r="J2" s="180" t="s">
        <v>882</v>
      </c>
      <c r="K2" s="193" t="s">
        <v>883</v>
      </c>
      <c r="L2" s="180" t="s">
        <v>884</v>
      </c>
    </row>
    <row r="3" spans="1:12">
      <c r="A3" s="188" t="s">
        <v>177</v>
      </c>
      <c r="B3" s="188">
        <f>'Report Tables'!C4</f>
        <v>4.2535990287914576</v>
      </c>
      <c r="C3" s="188">
        <f>'Report Tables'!B4</f>
        <v>0</v>
      </c>
      <c r="D3" s="188">
        <f>'Report Tables'!D4</f>
        <v>4.2535990287914576</v>
      </c>
      <c r="F3" s="187">
        <f>'Report Tables'!F4</f>
        <v>1.7333329375678309E-2</v>
      </c>
      <c r="H3" s="188" t="s">
        <v>177</v>
      </c>
      <c r="I3" s="188"/>
      <c r="J3" s="188"/>
      <c r="K3" s="188">
        <f>'Report Tables'!M4</f>
        <v>1181.1980345162299</v>
      </c>
      <c r="L3" s="187"/>
    </row>
    <row r="4" spans="1:12">
      <c r="A4" s="188" t="s">
        <v>885</v>
      </c>
      <c r="E4" s="188">
        <f>'Report Tables'!E4</f>
        <v>245.4</v>
      </c>
      <c r="H4" s="188" t="s">
        <v>177</v>
      </c>
      <c r="I4" s="188">
        <f>'Report Tables'!K4</f>
        <v>29.155163000000002</v>
      </c>
      <c r="J4" s="188">
        <f>'Report Tables'!J4</f>
        <v>0</v>
      </c>
      <c r="K4" s="188"/>
      <c r="L4" s="187">
        <f>'Report Tables'!O4</f>
        <v>2.4682705311087617E-2</v>
      </c>
    </row>
    <row r="5" spans="1:12">
      <c r="A5" s="188" t="s">
        <v>492</v>
      </c>
      <c r="B5" s="188">
        <f>'Report Tables'!C5</f>
        <v>17.672353033529834</v>
      </c>
      <c r="C5" s="188">
        <f>'Report Tables'!B5</f>
        <v>0</v>
      </c>
      <c r="D5" s="188">
        <f>'Report Tables'!D5</f>
        <v>17.672353033529834</v>
      </c>
      <c r="F5" s="187">
        <f>'Report Tables'!F5</f>
        <v>3.9003206871617374E-2</v>
      </c>
      <c r="H5" s="188" t="s">
        <v>492</v>
      </c>
      <c r="I5" s="188"/>
      <c r="J5" s="188"/>
      <c r="K5" s="188">
        <f>'Report Tables'!M5</f>
        <v>1645.1201742234027</v>
      </c>
      <c r="L5" s="187"/>
    </row>
    <row r="6" spans="1:12">
      <c r="A6" s="188" t="s">
        <v>885</v>
      </c>
      <c r="E6" s="188">
        <f>'Report Tables'!E5</f>
        <v>453.1</v>
      </c>
      <c r="H6" s="188" t="s">
        <v>492</v>
      </c>
      <c r="I6" s="188">
        <f>'Report Tables'!K5</f>
        <v>25.419322999999995</v>
      </c>
      <c r="J6" s="188">
        <f>'Report Tables'!J5</f>
        <v>0</v>
      </c>
      <c r="K6" s="188"/>
      <c r="L6" s="187">
        <f>'Report Tables'!O5</f>
        <v>1.545134720142829E-2</v>
      </c>
    </row>
    <row r="7" spans="1:12">
      <c r="A7" s="188" t="s">
        <v>500</v>
      </c>
      <c r="B7" s="188">
        <f>'Report Tables'!C6</f>
        <v>12.781580533675353</v>
      </c>
      <c r="C7" s="188">
        <f>'Report Tables'!B6</f>
        <v>0</v>
      </c>
      <c r="D7" s="188">
        <f>'Report Tables'!D6</f>
        <v>12.781580533675353</v>
      </c>
      <c r="F7" s="187">
        <f>'Report Tables'!F6</f>
        <v>0.37815327022708145</v>
      </c>
      <c r="H7" s="188" t="s">
        <v>500</v>
      </c>
      <c r="I7" s="188"/>
      <c r="J7" s="188"/>
      <c r="K7" s="188">
        <f>'Report Tables'!M6</f>
        <v>163.66476963274638</v>
      </c>
      <c r="L7" s="187"/>
    </row>
    <row r="8" spans="1:12">
      <c r="A8" s="188" t="s">
        <v>885</v>
      </c>
      <c r="E8" s="188">
        <f>'Report Tables'!E6</f>
        <v>33.799999999999997</v>
      </c>
      <c r="H8" s="188" t="s">
        <v>500</v>
      </c>
      <c r="I8" s="188">
        <f>'Report Tables'!K6</f>
        <v>65.950969999999984</v>
      </c>
      <c r="J8" s="188">
        <f>'Report Tables'!I6</f>
        <v>0</v>
      </c>
      <c r="K8" s="188"/>
      <c r="L8" s="187">
        <f>'Report Tables'!O6</f>
        <v>0.40296375419089814</v>
      </c>
    </row>
    <row r="9" spans="1:12">
      <c r="A9" s="188" t="s">
        <v>504</v>
      </c>
      <c r="B9" s="188">
        <f>'Report Tables'!C7</f>
        <v>2.2884845231127611</v>
      </c>
      <c r="C9" s="188">
        <f>'Report Tables'!B7</f>
        <v>0</v>
      </c>
      <c r="D9" s="188">
        <f>'Report Tables'!D7</f>
        <v>2.2884845231127611</v>
      </c>
      <c r="F9" s="187">
        <f>'Report Tables'!F7</f>
        <v>9.3790349307900037E-3</v>
      </c>
      <c r="H9" s="188" t="s">
        <v>504</v>
      </c>
      <c r="I9" s="188"/>
      <c r="J9" s="188"/>
      <c r="K9" s="188">
        <f>'Report Tables'!M7</f>
        <v>1013.4566236318417</v>
      </c>
      <c r="L9" s="187"/>
    </row>
    <row r="10" spans="1:12">
      <c r="A10" s="188" t="s">
        <v>885</v>
      </c>
      <c r="E10" s="188">
        <f>'Report Tables'!E7</f>
        <v>244</v>
      </c>
      <c r="H10" s="188" t="s">
        <v>504</v>
      </c>
      <c r="I10" s="188">
        <f>'Report Tables'!K7</f>
        <v>6.0794319999999997</v>
      </c>
      <c r="J10" s="188">
        <f>'Report Tables'!I7</f>
        <v>0</v>
      </c>
      <c r="K10" s="188"/>
      <c r="L10" s="187">
        <f>'Report Tables'!O7</f>
        <v>5.998709622335523E-3</v>
      </c>
    </row>
    <row r="11" spans="1:12">
      <c r="A11" s="188" t="s">
        <v>568</v>
      </c>
      <c r="B11" s="188">
        <f>'Report Tables'!C8</f>
        <v>0.16829853963608926</v>
      </c>
      <c r="C11" s="188">
        <f>'Report Tables'!B8</f>
        <v>0</v>
      </c>
      <c r="D11" s="188">
        <f>'Report Tables'!D8</f>
        <v>0.16829853963608926</v>
      </c>
      <c r="F11" s="187">
        <f>'Report Tables'!F8</f>
        <v>1.2374892620300681E-2</v>
      </c>
      <c r="H11" s="188" t="s">
        <v>568</v>
      </c>
      <c r="I11" s="188"/>
      <c r="J11" s="188"/>
      <c r="K11" s="188">
        <f>'Report Tables'!M8</f>
        <v>159.51357129945922</v>
      </c>
      <c r="L11" s="187"/>
    </row>
    <row r="12" spans="1:12">
      <c r="A12" s="188" t="s">
        <v>885</v>
      </c>
      <c r="E12" s="188">
        <f>'Report Tables'!E8</f>
        <v>13.6</v>
      </c>
      <c r="H12" s="188" t="s">
        <v>568</v>
      </c>
      <c r="I12" s="188">
        <f>'Report Tables'!K8</f>
        <v>0.53</v>
      </c>
      <c r="J12" s="188">
        <f>'Report Tables'!I8</f>
        <v>0</v>
      </c>
      <c r="K12" s="188"/>
      <c r="L12" s="189">
        <f>'Report Tables'!O8</f>
        <v>3.3226013039668986E-3</v>
      </c>
    </row>
    <row r="13" spans="1:12">
      <c r="A13" s="188" t="s">
        <v>527</v>
      </c>
      <c r="B13" s="188">
        <f>'Report Tables'!C9</f>
        <v>0.84353361133864646</v>
      </c>
      <c r="C13" s="188">
        <f>'Report Tables'!B9</f>
        <v>0</v>
      </c>
      <c r="D13" s="188">
        <f>'Report Tables'!D9</f>
        <v>0.84353361133864646</v>
      </c>
      <c r="F13" s="187">
        <f>'Report Tables'!F9</f>
        <v>1.7285524822513249E-2</v>
      </c>
      <c r="H13" s="188" t="s">
        <v>527</v>
      </c>
      <c r="I13" s="188"/>
      <c r="J13" s="188"/>
      <c r="K13" s="188">
        <f>'Report Tables'!M9</f>
        <v>187.19753473913744</v>
      </c>
      <c r="L13" s="187"/>
    </row>
    <row r="14" spans="1:12">
      <c r="A14" s="188" t="s">
        <v>885</v>
      </c>
      <c r="E14" s="188">
        <f>'Report Tables'!E9</f>
        <v>48.8</v>
      </c>
      <c r="H14" s="188" t="s">
        <v>527</v>
      </c>
      <c r="I14" s="188">
        <f>'Report Tables'!K9</f>
        <v>7.162782</v>
      </c>
      <c r="J14" s="188">
        <f>'Report Tables'!I9</f>
        <v>0</v>
      </c>
      <c r="K14" s="188"/>
      <c r="L14" s="187">
        <f>'Report Tables'!O9</f>
        <v>3.8263228252345544E-2</v>
      </c>
    </row>
    <row r="15" spans="1:12">
      <c r="A15" s="188" t="s">
        <v>509</v>
      </c>
      <c r="B15" s="188">
        <f>'Report Tables'!C10</f>
        <v>3.5637737978434032</v>
      </c>
      <c r="C15" s="188">
        <f>'Report Tables'!B10</f>
        <v>0</v>
      </c>
      <c r="D15" s="188">
        <f>'Report Tables'!D10</f>
        <v>3.5637737978434032</v>
      </c>
      <c r="F15" s="187">
        <f>'Report Tables'!F10</f>
        <v>8.7777679749837523E-3</v>
      </c>
      <c r="H15" s="188" t="s">
        <v>509</v>
      </c>
      <c r="I15" s="188"/>
      <c r="J15" s="188"/>
      <c r="K15" s="188">
        <f>'Report Tables'!M10</f>
        <v>910.13626032166462</v>
      </c>
      <c r="L15" s="187"/>
    </row>
    <row r="16" spans="1:12">
      <c r="A16" s="188" t="s">
        <v>885</v>
      </c>
      <c r="E16" s="188">
        <f>'Report Tables'!E10</f>
        <v>406</v>
      </c>
      <c r="H16" s="188" t="s">
        <v>509</v>
      </c>
      <c r="I16" s="188">
        <f>'Report Tables'!K10</f>
        <v>13.61</v>
      </c>
      <c r="J16" s="188">
        <f>'Report Tables'!I10</f>
        <v>0</v>
      </c>
      <c r="K16" s="188"/>
      <c r="L16" s="187">
        <f>'Report Tables'!O10</f>
        <v>1.4953804823895149E-2</v>
      </c>
    </row>
    <row r="17" spans="1:13">
      <c r="A17" s="188" t="s">
        <v>868</v>
      </c>
      <c r="B17" s="188">
        <f>'Report Tables'!C11</f>
        <v>41.571623067927554</v>
      </c>
      <c r="C17" s="188">
        <f>'Report Tables'!B11</f>
        <v>0</v>
      </c>
      <c r="D17" s="188">
        <f>'Report Tables'!D11</f>
        <v>41.571623067927554</v>
      </c>
      <c r="E17" s="188">
        <f>'Report Tables'!E11</f>
        <v>1444.7</v>
      </c>
      <c r="F17" s="187">
        <f>'Report Tables'!F11</f>
        <v>2.8775263423497996E-2</v>
      </c>
      <c r="H17" s="188" t="s">
        <v>868</v>
      </c>
      <c r="I17" s="188">
        <f>'Report Tables'!K11</f>
        <v>147.90767</v>
      </c>
      <c r="J17" s="188">
        <f>'Report Tables'!I11</f>
        <v>0</v>
      </c>
      <c r="K17" s="188">
        <f>'Report Tables'!N11</f>
        <v>14365.006089582466</v>
      </c>
      <c r="L17" s="187">
        <f>'Report Tables'!O11</f>
        <v>2.8117794882583598E-2</v>
      </c>
    </row>
    <row r="19" spans="1:13">
      <c r="A19" s="118"/>
      <c r="B19" s="118"/>
      <c r="C19" s="118"/>
      <c r="D19" s="118"/>
      <c r="E19" s="118"/>
      <c r="F19" s="118"/>
      <c r="G19" s="118"/>
      <c r="H19" s="118"/>
      <c r="I19" s="118"/>
      <c r="J19" s="118"/>
      <c r="K19" s="118"/>
      <c r="L19" s="118"/>
      <c r="M19" s="118"/>
    </row>
    <row r="20" spans="1:13">
      <c r="A20" s="118"/>
      <c r="B20" s="118"/>
      <c r="C20" s="118"/>
      <c r="D20" s="118"/>
      <c r="E20" s="118"/>
      <c r="F20" s="118"/>
      <c r="G20" s="118"/>
      <c r="H20" s="118"/>
      <c r="I20" s="118"/>
      <c r="J20" s="118"/>
      <c r="K20" s="118"/>
      <c r="L20" s="118"/>
      <c r="M20" s="118"/>
    </row>
    <row r="21" spans="1:13">
      <c r="A21" s="118"/>
      <c r="B21" s="118"/>
      <c r="C21" s="118"/>
      <c r="D21" s="118"/>
      <c r="E21" s="118"/>
      <c r="F21" s="118"/>
      <c r="G21" s="118"/>
      <c r="H21" s="118"/>
      <c r="I21" s="118"/>
      <c r="J21" s="118"/>
      <c r="K21" s="118"/>
      <c r="L21" s="118"/>
      <c r="M21" s="118"/>
    </row>
    <row r="22" spans="1:13">
      <c r="A22" s="118"/>
      <c r="B22" s="118"/>
      <c r="C22" s="118"/>
      <c r="D22" s="118"/>
      <c r="E22" s="118"/>
      <c r="F22" s="118"/>
      <c r="G22" s="118"/>
      <c r="H22" s="118"/>
      <c r="I22" s="118"/>
      <c r="J22" s="118"/>
      <c r="K22" s="118"/>
      <c r="L22" s="118"/>
      <c r="M22" s="118"/>
    </row>
    <row r="23" spans="1:13">
      <c r="A23" s="118"/>
      <c r="B23" s="118"/>
      <c r="C23" s="118"/>
      <c r="D23" s="118"/>
      <c r="E23" s="118"/>
      <c r="F23" s="118"/>
      <c r="G23" s="118"/>
      <c r="H23" s="118"/>
      <c r="I23" s="118"/>
      <c r="J23" s="118"/>
      <c r="K23" s="118"/>
      <c r="L23" s="118"/>
      <c r="M23" s="118"/>
    </row>
    <row r="24" spans="1:13">
      <c r="A24" s="118"/>
      <c r="B24" s="118"/>
      <c r="C24" s="118"/>
      <c r="D24" s="118"/>
      <c r="E24" s="118"/>
      <c r="F24" s="118"/>
      <c r="G24" s="118"/>
      <c r="H24" s="118"/>
      <c r="I24" s="118"/>
      <c r="J24" s="118"/>
      <c r="K24" s="118"/>
      <c r="L24" s="118"/>
      <c r="M24" s="118"/>
    </row>
    <row r="25" spans="1:13">
      <c r="A25" s="118"/>
      <c r="B25" s="118"/>
      <c r="C25" s="118"/>
      <c r="D25" s="118"/>
      <c r="E25" s="118"/>
      <c r="F25" s="118"/>
      <c r="G25" s="118"/>
      <c r="H25" s="118"/>
      <c r="I25" s="118"/>
      <c r="J25" s="118"/>
      <c r="K25" s="118"/>
      <c r="L25" s="118"/>
      <c r="M25" s="118"/>
    </row>
    <row r="26" spans="1:13">
      <c r="A26" s="118"/>
      <c r="B26" s="118"/>
      <c r="C26" s="118"/>
      <c r="D26" s="118"/>
      <c r="E26" s="118"/>
      <c r="F26" s="118"/>
      <c r="G26" s="118"/>
      <c r="H26" s="118"/>
      <c r="I26" s="118"/>
      <c r="J26" s="118"/>
      <c r="K26" s="118"/>
      <c r="L26" s="118"/>
      <c r="M26" s="118"/>
    </row>
    <row r="27" spans="1:13">
      <c r="A27" s="118"/>
      <c r="B27" s="118"/>
      <c r="C27" s="118"/>
      <c r="D27" s="118"/>
      <c r="E27" s="118"/>
      <c r="F27" s="118"/>
      <c r="G27" s="118"/>
      <c r="H27" s="118"/>
      <c r="I27" s="118"/>
      <c r="J27" s="118"/>
      <c r="K27" s="118"/>
      <c r="L27" s="118"/>
      <c r="M27" s="118"/>
    </row>
    <row r="28" spans="1:13">
      <c r="A28" s="118"/>
      <c r="B28" s="118"/>
      <c r="C28" s="118"/>
      <c r="D28" s="118"/>
      <c r="E28" s="118"/>
      <c r="F28" s="118"/>
      <c r="G28" s="118"/>
      <c r="H28" s="118"/>
      <c r="I28" s="118"/>
      <c r="J28" s="118"/>
      <c r="K28" s="118"/>
      <c r="L28" s="118"/>
      <c r="M28" s="118"/>
    </row>
    <row r="29" spans="1:13">
      <c r="A29" s="118"/>
      <c r="B29" s="118"/>
      <c r="C29" s="118"/>
      <c r="D29" s="118"/>
      <c r="E29" s="118"/>
      <c r="F29" s="118"/>
      <c r="G29" s="118"/>
      <c r="H29" s="118"/>
      <c r="I29" s="118"/>
      <c r="J29" s="118"/>
      <c r="K29" s="118"/>
      <c r="L29" s="118"/>
      <c r="M29" s="118"/>
    </row>
    <row r="30" spans="1:13">
      <c r="A30" s="118"/>
      <c r="B30" s="118"/>
      <c r="C30" s="118"/>
      <c r="D30" s="118"/>
      <c r="E30" s="118"/>
      <c r="F30" s="118"/>
      <c r="G30" s="118"/>
      <c r="H30" s="118"/>
      <c r="I30" s="118"/>
      <c r="J30" s="118"/>
      <c r="K30" s="118"/>
      <c r="L30" s="118"/>
      <c r="M30" s="118"/>
    </row>
    <row r="31" spans="1:13">
      <c r="A31" s="118"/>
      <c r="B31" s="118"/>
      <c r="C31" s="118"/>
      <c r="D31" s="118"/>
      <c r="E31" s="118"/>
      <c r="F31" s="118"/>
      <c r="G31" s="118"/>
      <c r="H31" s="118"/>
      <c r="I31" s="118"/>
      <c r="J31" s="118"/>
      <c r="K31" s="118"/>
      <c r="L31" s="118"/>
      <c r="M31" s="118"/>
    </row>
    <row r="32" spans="1:13">
      <c r="A32" s="118"/>
      <c r="B32" s="118"/>
      <c r="C32" s="118"/>
      <c r="D32" s="118"/>
      <c r="E32" s="118"/>
      <c r="F32" s="118"/>
      <c r="G32" s="118"/>
      <c r="H32" s="118"/>
      <c r="I32" s="118"/>
      <c r="J32" s="118"/>
      <c r="K32" s="118"/>
      <c r="L32" s="118"/>
      <c r="M32" s="118"/>
    </row>
    <row r="33" spans="1:13">
      <c r="A33" s="118"/>
      <c r="B33" s="118"/>
      <c r="C33" s="118"/>
      <c r="D33" s="118"/>
      <c r="E33" s="118"/>
      <c r="F33" s="118"/>
      <c r="G33" s="118"/>
      <c r="H33" s="118"/>
      <c r="I33" s="118"/>
      <c r="J33" s="118"/>
      <c r="K33" s="118"/>
      <c r="L33" s="118"/>
      <c r="M33" s="118"/>
    </row>
    <row r="34" spans="1:13">
      <c r="A34" s="118"/>
      <c r="B34" s="118"/>
      <c r="C34" s="118"/>
      <c r="D34" s="118"/>
      <c r="E34" s="118"/>
      <c r="F34" s="118"/>
      <c r="G34" s="118"/>
      <c r="H34" s="118"/>
      <c r="I34" s="118"/>
      <c r="J34" s="118"/>
      <c r="K34" s="118"/>
      <c r="L34" s="118"/>
      <c r="M34" s="118"/>
    </row>
    <row r="35" spans="1:13">
      <c r="A35" s="118"/>
      <c r="B35" s="118"/>
      <c r="C35" s="118"/>
      <c r="D35" s="118"/>
      <c r="E35" s="118"/>
      <c r="F35" s="118"/>
      <c r="G35" s="118"/>
      <c r="H35" s="118"/>
      <c r="I35" s="118"/>
      <c r="J35" s="118"/>
      <c r="K35" s="118"/>
      <c r="L35" s="118"/>
      <c r="M35" s="118"/>
    </row>
    <row r="36" spans="1:13">
      <c r="A36" s="118"/>
      <c r="B36" s="118"/>
      <c r="C36" s="118"/>
      <c r="D36" s="118"/>
      <c r="E36" s="118"/>
      <c r="F36" s="118"/>
      <c r="G36" s="118"/>
      <c r="H36" s="118"/>
      <c r="I36" s="118"/>
      <c r="J36" s="118"/>
      <c r="K36" s="118"/>
      <c r="L36" s="118"/>
      <c r="M36" s="118"/>
    </row>
    <row r="37" spans="1:13">
      <c r="A37" s="118"/>
      <c r="B37" s="118"/>
      <c r="C37" s="118"/>
      <c r="D37" s="118"/>
      <c r="E37" s="118"/>
      <c r="F37" s="118"/>
      <c r="G37" s="118"/>
      <c r="H37" s="118"/>
      <c r="I37" s="118"/>
      <c r="J37" s="118"/>
      <c r="K37" s="118"/>
      <c r="L37" s="118"/>
      <c r="M37" s="118"/>
    </row>
    <row r="38" spans="1:13">
      <c r="A38" s="118"/>
      <c r="B38" s="118"/>
      <c r="C38" s="118"/>
      <c r="D38" s="118"/>
      <c r="E38" s="118"/>
      <c r="F38" s="118"/>
      <c r="G38" s="118"/>
      <c r="H38" s="118"/>
      <c r="I38" s="118"/>
      <c r="J38" s="118"/>
      <c r="K38" s="118"/>
      <c r="L38" s="118"/>
      <c r="M38" s="118"/>
    </row>
    <row r="39" spans="1:13">
      <c r="A39" s="118"/>
      <c r="B39" s="118"/>
      <c r="C39" s="118"/>
      <c r="D39" s="118"/>
      <c r="E39" s="118"/>
      <c r="F39" s="118"/>
      <c r="G39" s="118"/>
      <c r="H39" s="118"/>
      <c r="I39" s="118"/>
      <c r="J39" s="118"/>
      <c r="K39" s="118"/>
      <c r="L39" s="118"/>
      <c r="M39" s="118"/>
    </row>
    <row r="40" spans="1:13">
      <c r="A40" s="118"/>
      <c r="B40" s="118"/>
      <c r="C40" s="118"/>
      <c r="D40" s="118"/>
      <c r="E40" s="118"/>
      <c r="F40" s="118"/>
      <c r="G40" s="118"/>
      <c r="H40" s="118"/>
      <c r="I40" s="118"/>
      <c r="J40" s="118"/>
      <c r="K40" s="118"/>
      <c r="L40" s="118"/>
      <c r="M40" s="118"/>
    </row>
    <row r="41" spans="1:13">
      <c r="A41" s="118"/>
      <c r="B41" s="118"/>
      <c r="C41" s="118"/>
      <c r="D41" s="118"/>
      <c r="E41" s="118"/>
      <c r="F41" s="118"/>
      <c r="G41" s="118"/>
      <c r="H41" s="118"/>
      <c r="I41" s="118"/>
      <c r="J41" s="118"/>
      <c r="K41" s="118"/>
      <c r="L41" s="118"/>
      <c r="M41" s="11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94CC35BF8D2D44B28E9BAF8930F086" ma:contentTypeVersion="0" ma:contentTypeDescription="Create a new document." ma:contentTypeScope="" ma:versionID="8e10e92ce87e10f5e26a2c4eace4b79f">
  <xsd:schema xmlns:xsd="http://www.w3.org/2001/XMLSchema" xmlns:xs="http://www.w3.org/2001/XMLSchema" xmlns:p="http://schemas.microsoft.com/office/2006/metadata/properties" xmlns:ns2="22ec0dd7-095b-41f2-b8b8-a624496b8c6b" targetNamespace="http://schemas.microsoft.com/office/2006/metadata/properties" ma:root="true" ma:fieldsID="d5bfa24c6292fedce6ffb487e3d3423c" ns2:_="">
    <xsd:import namespace="22ec0dd7-095b-41f2-b8b8-a624496b8c6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ec0dd7-095b-41f2-b8b8-a624496b8c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22ec0dd7-095b-41f2-b8b8-a624496b8c6b">E23TXWV46JPD-403508352-8</_dlc_DocId>
    <_dlc_DocIdUrl xmlns="22ec0dd7-095b-41f2-b8b8-a624496b8c6b">
      <Url>https://outside.vermont.gov/agency/VTRANS/external/docs/_layouts/15/DocIdRedir.aspx?ID=E23TXWV46JPD-403508352-8</Url>
      <Description>E23TXWV46JPD-403508352-8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FFD664-140C-44FF-BE4F-E1156A33A009}">
  <ds:schemaRefs>
    <ds:schemaRef ds:uri="http://schemas.microsoft.com/sharepoint/v3/contenttype/forms"/>
  </ds:schemaRefs>
</ds:datastoreItem>
</file>

<file path=customXml/itemProps2.xml><?xml version="1.0" encoding="utf-8"?>
<ds:datastoreItem xmlns:ds="http://schemas.openxmlformats.org/officeDocument/2006/customXml" ds:itemID="{76B2BB98-1A66-4E5C-B25D-87C48356CDB3}"/>
</file>

<file path=customXml/itemProps3.xml><?xml version="1.0" encoding="utf-8"?>
<ds:datastoreItem xmlns:ds="http://schemas.openxmlformats.org/officeDocument/2006/customXml" ds:itemID="{491B831F-CC2A-4282-90C6-890A55134824}">
  <ds:schemaRefs>
    <ds:schemaRef ds:uri="http://schemas.microsoft.com/office/2006/documentManagement/types"/>
    <ds:schemaRef ds:uri="http://purl.org/dc/elements/1.1/"/>
    <ds:schemaRef ds:uri="http://schemas.microsoft.com/office/2006/metadata/properties"/>
    <ds:schemaRef ds:uri="03005d8e-30b7-42f6-8719-aed6e4a72f4d"/>
    <ds:schemaRef ds:uri="http://purl.org/dc/terms/"/>
    <ds:schemaRef ds:uri="http://schemas.openxmlformats.org/package/2006/metadata/core-properties"/>
    <ds:schemaRef ds:uri="http://purl.org/dc/dcmitype/"/>
    <ds:schemaRef ds:uri="http://schemas.microsoft.com/office/infopath/2007/PartnerControls"/>
    <ds:schemaRef ds:uri="3c6632dd-9123-446b-9b0e-bde3e6e530d2"/>
    <ds:schemaRef ds:uri="b0736909-a092-49af-91b3-108a333262dd"/>
    <ds:schemaRef ds:uri="http://www.w3.org/XML/1998/namespace"/>
  </ds:schemaRefs>
</ds:datastoreItem>
</file>

<file path=customXml/itemProps4.xml><?xml version="1.0" encoding="utf-8"?>
<ds:datastoreItem xmlns:ds="http://schemas.openxmlformats.org/officeDocument/2006/customXml" ds:itemID="{6AA926C3-80DA-431C-8CC6-F9E2FD5D3245}">
  <ds:schemaRefs>
    <ds:schemaRef ds:uri="http://schemas.microsoft.com/sharepoint/events"/>
  </ds:schemaRefs>
</ds:datastoreItem>
</file>

<file path=docMetadata/LabelInfo.xml><?xml version="1.0" encoding="utf-8"?>
<clbl:labelList xmlns:clbl="http://schemas.microsoft.com/office/2020/mipLabelMetadata">
  <clbl:label id="{20b4933b-baad-433c-9c02-70edcc7559c6}" enabled="0" method="" siteId="{20b4933b-baad-433c-9c02-70edcc7559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Instructions</vt:lpstr>
      <vt:lpstr>BMP Tracking Table</vt:lpstr>
      <vt:lpstr>Maintenance Only</vt:lpstr>
      <vt:lpstr>Performance Curves</vt:lpstr>
      <vt:lpstr>Loading Rates</vt:lpstr>
      <vt:lpstr>BMP Definitions</vt:lpstr>
      <vt:lpstr>Dropdowns</vt:lpstr>
      <vt:lpstr>Change Log</vt:lpstr>
      <vt:lpstr>Total BMP Pivots</vt:lpstr>
      <vt:lpstr>Planned BMP Pivots</vt:lpstr>
      <vt:lpstr>Completed BMP Pivots</vt:lpstr>
      <vt:lpstr>Report Tables</vt:lpstr>
      <vt:lpstr>Charts</vt:lpstr>
      <vt:lpstr>'Completed BMP Pivots'!Print_Area</vt:lpstr>
      <vt:lpstr>'Planned BMP Pivots'!Print_Area</vt:lpstr>
      <vt:lpstr>'Total BMP Pivots'!Print_Area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VTDEC</dc:creator>
  <cp:keywords/>
  <dc:description/>
  <cp:lastModifiedBy>Kneeland, Kaylie</cp:lastModifiedBy>
  <cp:revision/>
  <dcterms:created xsi:type="dcterms:W3CDTF">2017-05-17T15:08:11Z</dcterms:created>
  <dcterms:modified xsi:type="dcterms:W3CDTF">2025-01-23T15:19:56Z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0x0101007C94CC35BF8D2D44B28E9BAF8930F086</vt:lpwstr>
  </property>
  <property fmtid="{D5CDD505-2E9C-101B-9397-08002B2CF9AE}" pid="3" name="_dlc_DocIdItemGuid">
    <vt:lpwstr>2dc0e6e7-1a78-44e9-a99e-1f79a72fd963</vt:lpwstr>
  </property>
</Properties>
</file>